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Экономисты\Федорова О.Н\Для сайта\Для сайта 2024 год\Тарифы на 2024 год\"/>
    </mc:Choice>
  </mc:AlternateContent>
  <bookViews>
    <workbookView xWindow="0" yWindow="0" windowWidth="28800" windowHeight="11730"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state="hidden" r:id="rId13"/>
    <sheet name="ТС. Т-ТН" sheetId="14" r:id="rId14"/>
    <sheet name="ТС. Т-передача ТЭ" sheetId="15" state="hidden" r:id="rId15"/>
    <sheet name="ТС. Т-передача ТН" sheetId="16" state="hidden" r:id="rId16"/>
    <sheet name="ТС. Т-гор.вода" sheetId="17" r:id="rId17"/>
    <sheet name="ТС. Т-подкл" sheetId="18"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ТСО'!$226:$228</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Т-ТН'!$94:$97</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Т-гор.вода'!$108:$110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Т-подкл'!$67:$69</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ТСО'!$229:$232</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Т-ТН'!$98:$101</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Т-гор.вода'!$111:$113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Т-подкл'!$70:$72</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тарифов'!$124:$148</definedName>
    <definedName name="BLOCK_PT_HEAT">'Перечень тарифов'!$13:$122</definedName>
    <definedName name="BLOCK_PT_HOTVSNA">'Перечень тарифов'!$150:$164</definedName>
    <definedName name="BLOCK_PT_VOTV">'Перечень тарифов'!$166:$180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REESTR_DS!$B$2:$B$17</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тарифов'!$Z$12:$Z$182</definedName>
    <definedName name="DIFFERENTIATION_TARIFF_VD_ID">'Перечень тарифов'!$AB$12:$AB$182</definedName>
    <definedName name="DIFFERENTIATION_TARIFF_VTAR_ID">'Перечень тарифов'!$AA$12:$AA$182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территорий'!$G$60</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ТСО'!$T$225</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Т-ТН'!$T$93</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Т-гор.вода'!$V$107</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Т-подкл'!$T$66</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ТСО'!$BZ$39</definedName>
    <definedName name="pIns_ver_HEAT_TARIFF_C">'ТС. Т-ТН'!$BZ$39</definedName>
    <definedName name="pIns_ver_HEAT_TARIFF_D">'ТС. Т-гор.вода'!$CI$43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'ТС. Т-ТН'!$57:$66</definedName>
    <definedName name="pt_cs_31">'ТС. Т-ТН'!$69:$78</definedName>
    <definedName name="pt_cs_32">'ТС. Т-ТН'!$81:$90</definedName>
    <definedName name="pt_cs_33">'ТС. Т-гор.вода'!$65:$76</definedName>
    <definedName name="pt_cs_34">'ТС. Т-гор.вода'!$79:$90</definedName>
    <definedName name="pt_cs_35">'ТС. Т-гор.вода'!$93:$104</definedName>
    <definedName name="pt_cs_36">'ТС. Т-ТЭ | ТСО'!$57:$66</definedName>
    <definedName name="pt_cs_37">'ТС. Т-ТЭ | ТСО'!$69:$78</definedName>
    <definedName name="pt_cs_38">'ТС. Т-ТЭ | ТСО'!$81:$90</definedName>
    <definedName name="pt_cs_39">'ТС. Т-ТЭ | ТСО'!$93:$102</definedName>
    <definedName name="pt_cs_4">'ТС. Т-гор.вода'!$51:$62</definedName>
    <definedName name="pt_cs_40">'ТС. Т-ТЭ | ТСО'!$105:$114</definedName>
    <definedName name="pt_cs_41">'ТС. Т-ТЭ | ТСО'!$117:$126</definedName>
    <definedName name="pt_cs_42">'ТС. Т-ТЭ | ТСО'!$129:$138</definedName>
    <definedName name="pt_cs_43">'ТС. Т-ТЭ | ТСО'!$141:$150</definedName>
    <definedName name="pt_cs_44">'ТС. Т-ТЭ | ТСО'!$153:$162</definedName>
    <definedName name="pt_cs_45">'ТС. Т-ТЭ | ТСО'!$165:$174</definedName>
    <definedName name="pt_cs_46">'ТС. Т-ТЭ | ТСО'!$177:$186</definedName>
    <definedName name="pt_cs_47">'ТС. Т-ТЭ | ТСО'!$189:$198</definedName>
    <definedName name="pt_cs_48">'ТС. Т-ТЭ | ТСО'!$201:$210</definedName>
    <definedName name="pt_cs_49">'ТС. Т-ТЭ | ТСО'!$213:$222</definedName>
    <definedName name="pt_cs_4i">'Т-ТЭ | индикат'!$21:$30</definedName>
    <definedName name="pt_cs_4p">'Т-ТЭ | предел'!$21:$30</definedName>
    <definedName name="pt_cs_5">'ТС. Т-передача ТЭ'!$45:$54</definedName>
    <definedName name="pt_cs_50">'ТС. Т-ТЭ | ТСО'!#REF!</definedName>
    <definedName name="pt_cs_6">'ТС. Т-передача ТН'!$45:$54</definedName>
    <definedName name="pt_cs_7">'ТС. Резерв мощности'!$45:$54</definedName>
    <definedName name="pt_cs_8">'ТС. Т-подкл'!$47:$62</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тарифов'!$AL$12:$AL$182</definedName>
    <definedName name="PT_DIFFERENTIATION_CS_ID">'Перечень тарифов'!$AF$12:$AF$182</definedName>
    <definedName name="PT_DIFFERENTIATION_IST_TE">'Перечень тарифов'!$AM$12:$AM$182</definedName>
    <definedName name="PT_DIFFERENTIATION_IST_TE_ID">'Перечень тарифов'!$AG$12:$AG$182</definedName>
    <definedName name="PT_DIFFERENTIATION_NTAR">'Перечень тарифов'!$AJ$12:$AJ$182</definedName>
    <definedName name="PT_DIFFERENTIATION_NTAR_ID">'Перечень тарифов'!$AD$12:$AD$182</definedName>
    <definedName name="PT_DIFFERENTIATION_NUM_CS">'Перечень тарифов'!$AP$12:$AP$182</definedName>
    <definedName name="PT_DIFFERENTIATION_NUM_IST_TE">'Перечень тарифов'!$AQ$12:$AQ$182</definedName>
    <definedName name="PT_DIFFERENTIATION_NUM_NTAR">'Перечень тарифов'!$AN$12:$AN$182</definedName>
    <definedName name="PT_DIFFERENTIATION_NUM_TER">'Перечень тарифов'!$AO$12:$AO$182</definedName>
    <definedName name="PT_DIFFERENTIATION_TER">'Перечень тарифов'!$AK$12:$AK$182</definedName>
    <definedName name="PT_DIFFERENTIATION_TER_ID">'Перечень тарифов'!$AE$12:$AE$182</definedName>
    <definedName name="PT_DIFFERENTIATION_VDET">'Перечень тарифов'!$AI$12:$AI$182</definedName>
    <definedName name="PT_DIFFERENTIATION_VTAR">'Перечень тарифов'!$AH$12:$AH$182</definedName>
    <definedName name="PT_DIFFERENTIATION_VTAR_ID">'Перечень тарифов'!$AC$12:$AC$182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30">'ТС. Т-ТН'!$58:$65</definedName>
    <definedName name="pt_ist_te_31">'ТС. Т-ТН'!$70:$77</definedName>
    <definedName name="pt_ist_te_32">'ТС. Т-ТН'!$82:$89</definedName>
    <definedName name="pt_ist_te_33">'ТС. Т-гор.вода'!$66:$75</definedName>
    <definedName name="pt_ist_te_34">'ТС. Т-гор.вода'!$80:$89</definedName>
    <definedName name="pt_ist_te_35">'ТС. Т-гор.вода'!$94:$103</definedName>
    <definedName name="pt_ist_te_36">'ТС. Т-ТЭ | ТСО'!$58:$65</definedName>
    <definedName name="pt_ist_te_37">'ТС. Т-ТЭ | ТСО'!$70:$77</definedName>
    <definedName name="pt_ist_te_38">'ТС. Т-ТЭ | ТСО'!$82:$89</definedName>
    <definedName name="pt_ist_te_39">'ТС. Т-ТЭ | ТСО'!$94:$101</definedName>
    <definedName name="pt_ist_te_4">'ТС. Т-гор.вода'!$52:$61</definedName>
    <definedName name="pt_ist_te_40">'ТС. Т-ТЭ | ТСО'!$106:$113</definedName>
    <definedName name="pt_ist_te_41">'ТС. Т-ТЭ | ТСО'!$118:$125</definedName>
    <definedName name="pt_ist_te_42">'ТС. Т-ТЭ | ТСО'!$130:$137</definedName>
    <definedName name="pt_ist_te_43">'ТС. Т-ТЭ | ТСО'!$142:$149</definedName>
    <definedName name="pt_ist_te_44">'ТС. Т-ТЭ | ТСО'!$154:$161</definedName>
    <definedName name="pt_ist_te_45">'ТС. Т-ТЭ | ТСО'!$166:$173</definedName>
    <definedName name="pt_ist_te_46">'ТС. Т-ТЭ | ТСО'!$178:$185</definedName>
    <definedName name="pt_ist_te_47">'ТС. Т-ТЭ | ТСО'!$190:$197</definedName>
    <definedName name="pt_ist_te_48">'ТС. Т-ТЭ | ТСО'!$202:$209</definedName>
    <definedName name="pt_ist_te_49">'ТС. Т-ТЭ | ТСО'!$214:$221</definedName>
    <definedName name="pt_ist_te_4i">'Т-ТЭ | индикат'!$22:$29</definedName>
    <definedName name="pt_ist_te_4p">'Т-ТЭ | предел'!$22:$29</definedName>
    <definedName name="pt_ist_te_5">'ТС. Т-передача ТЭ'!$46:$53</definedName>
    <definedName name="pt_ist_te_50">'ТС. Т-ТЭ | ТСО'!#REF!</definedName>
    <definedName name="pt_ist_te_6">'ТС. Т-передача ТН'!$46:$53</definedName>
    <definedName name="pt_ist_te_7">'ТС. Резерв мощности'!$46:$53</definedName>
    <definedName name="pt_ist_te_8">'ТС. Т-подкл'!$48:$61</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ТСО'!$43:$224</definedName>
    <definedName name="pt_ntar_3">'ТС. Т-ТН'!$43:$92</definedName>
    <definedName name="pt_ntar_4">'ТС. Т-гор.вода'!$49:$106</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Т-подкл'!$45:$65</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'ТС. Т-ТН'!$56:$67</definedName>
    <definedName name="pt_ter_31">'ТС. Т-ТН'!$68:$79</definedName>
    <definedName name="pt_ter_32">'ТС. Т-ТН'!$80:$91</definedName>
    <definedName name="pt_ter_33">'ТС. Т-гор.вода'!$64:$77</definedName>
    <definedName name="pt_ter_34">'ТС. Т-гор.вода'!$78:$91</definedName>
    <definedName name="pt_ter_35">'ТС. Т-гор.вода'!$92:$105</definedName>
    <definedName name="pt_ter_36">'ТС. Т-ТЭ | ТСО'!$56:$67</definedName>
    <definedName name="pt_ter_37">'ТС. Т-ТЭ | ТСО'!$68:$79</definedName>
    <definedName name="pt_ter_38">'ТС. Т-ТЭ | ТСО'!$80:$91</definedName>
    <definedName name="pt_ter_39">'ТС. Т-ТЭ | ТСО'!$92:$103</definedName>
    <definedName name="pt_ter_4">'ТС. Т-гор.вода'!$50:$63</definedName>
    <definedName name="pt_ter_40">'ТС. Т-ТЭ | ТСО'!$104:$115</definedName>
    <definedName name="pt_ter_41">'ТС. Т-ТЭ | ТСО'!$116:$127</definedName>
    <definedName name="pt_ter_42">'ТС. Т-ТЭ | ТСО'!$128:$139</definedName>
    <definedName name="pt_ter_43">'ТС. Т-ТЭ | ТСО'!$140:$151</definedName>
    <definedName name="pt_ter_44">'ТС. Т-ТЭ | ТСО'!$152:$163</definedName>
    <definedName name="pt_ter_45">'ТС. Т-ТЭ | ТСО'!$164:$175</definedName>
    <definedName name="pt_ter_46">'ТС. Т-ТЭ | ТСО'!$176:$187</definedName>
    <definedName name="pt_ter_47">'ТС. Т-ТЭ | ТСО'!$188:$199</definedName>
    <definedName name="pt_ter_48">'ТС. Т-ТЭ | ТСО'!$200:$211</definedName>
    <definedName name="pt_ter_49">'ТС. Т-ТЭ | ТСО'!$212:$223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Т-подкл'!$46:$63</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G24" i="59"/>
  <c r="AA23" i="59"/>
  <c r="F23" i="59"/>
  <c r="L23" i="59" s="1"/>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R18" i="58"/>
  <c r="S18" i="58" s="1"/>
  <c r="T18" i="58" s="1"/>
  <c r="V18" i="58" s="1"/>
  <c r="W18" i="58" s="1"/>
  <c r="X18" i="58" s="1"/>
  <c r="Q18" i="58"/>
  <c r="O18" i="58"/>
  <c r="N18" i="58"/>
  <c r="O11" i="58"/>
  <c r="O10" i="58"/>
  <c r="O9" i="58"/>
  <c r="O8" i="58"/>
  <c r="L6" i="58"/>
  <c r="U148" i="57"/>
  <c r="M148" i="57"/>
  <c r="E12" i="41" s="1"/>
  <c r="N101" i="57"/>
  <c r="M101" i="57"/>
  <c r="L101" i="57"/>
  <c r="E130" i="30" s="1"/>
  <c r="K101" i="57"/>
  <c r="J101" i="57"/>
  <c r="I101" i="57"/>
  <c r="N100" i="57"/>
  <c r="J129" i="30" s="1"/>
  <c r="K100" i="57"/>
  <c r="J100" i="57"/>
  <c r="M100" i="57" s="1"/>
  <c r="I100" i="57"/>
  <c r="L100" i="57" s="1"/>
  <c r="E129" i="30" s="1"/>
  <c r="N99" i="57"/>
  <c r="M99" i="57"/>
  <c r="F128" i="30" s="1"/>
  <c r="L99" i="57"/>
  <c r="E128" i="30" s="1"/>
  <c r="K99" i="57"/>
  <c r="J99" i="57"/>
  <c r="I99" i="57"/>
  <c r="N98" i="57"/>
  <c r="J127" i="30" s="1"/>
  <c r="K98" i="57"/>
  <c r="J98" i="57"/>
  <c r="M98" i="57" s="1"/>
  <c r="F127" i="30" s="1"/>
  <c r="I98" i="57"/>
  <c r="L98" i="57" s="1"/>
  <c r="E127" i="30" s="1"/>
  <c r="N97" i="57"/>
  <c r="J126" i="30" s="1"/>
  <c r="M97" i="57"/>
  <c r="F126" i="30" s="1"/>
  <c r="L97" i="57"/>
  <c r="E126" i="30" s="1"/>
  <c r="K97" i="57"/>
  <c r="J97" i="57"/>
  <c r="I97" i="57"/>
  <c r="N96" i="57"/>
  <c r="J123" i="30" s="1"/>
  <c r="M96" i="57"/>
  <c r="F123" i="30" s="1"/>
  <c r="K96" i="57"/>
  <c r="J96" i="57"/>
  <c r="I96" i="57"/>
  <c r="L96" i="57" s="1"/>
  <c r="N95" i="57"/>
  <c r="J120" i="30" s="1"/>
  <c r="M95" i="57"/>
  <c r="L95" i="57"/>
  <c r="K95" i="57"/>
  <c r="J95" i="57"/>
  <c r="I95" i="57"/>
  <c r="N94" i="57"/>
  <c r="J117" i="30" s="1"/>
  <c r="M94" i="57"/>
  <c r="K94" i="57"/>
  <c r="J94" i="57"/>
  <c r="I94" i="57"/>
  <c r="L94" i="57" s="1"/>
  <c r="N93" i="57"/>
  <c r="J116" i="30" s="1"/>
  <c r="M93" i="57"/>
  <c r="F116" i="30" s="1"/>
  <c r="L93" i="57"/>
  <c r="E116" i="30" s="1"/>
  <c r="K93" i="57"/>
  <c r="J93" i="57"/>
  <c r="I93" i="57"/>
  <c r="N92" i="57"/>
  <c r="J115" i="30" s="1"/>
  <c r="M92" i="57"/>
  <c r="F115" i="30" s="1"/>
  <c r="K92" i="57"/>
  <c r="J92" i="57"/>
  <c r="I92" i="57"/>
  <c r="L92" i="57" s="1"/>
  <c r="N91" i="57"/>
  <c r="M91" i="57"/>
  <c r="L91" i="57"/>
  <c r="E114" i="30" s="1"/>
  <c r="K91" i="57"/>
  <c r="J91" i="57"/>
  <c r="I91" i="57"/>
  <c r="N90" i="57"/>
  <c r="J113" i="30" s="1"/>
  <c r="M90" i="57"/>
  <c r="F113" i="30" s="1"/>
  <c r="K90" i="57"/>
  <c r="J90" i="57"/>
  <c r="I90" i="57"/>
  <c r="L90" i="57" s="1"/>
  <c r="N89" i="57"/>
  <c r="M89" i="57"/>
  <c r="L89" i="57"/>
  <c r="E112" i="30" s="1"/>
  <c r="K89" i="57"/>
  <c r="J89" i="57"/>
  <c r="I89" i="57"/>
  <c r="N88" i="57"/>
  <c r="J111" i="30" s="1"/>
  <c r="K88" i="57"/>
  <c r="J88" i="57"/>
  <c r="M88" i="57" s="1"/>
  <c r="F111" i="30" s="1"/>
  <c r="I88" i="57"/>
  <c r="L88" i="57" s="1"/>
  <c r="N87" i="57"/>
  <c r="J110" i="30" s="1"/>
  <c r="M87" i="57"/>
  <c r="L87" i="57"/>
  <c r="K87" i="57"/>
  <c r="J87" i="57"/>
  <c r="I87" i="57"/>
  <c r="N86" i="57"/>
  <c r="K86" i="57"/>
  <c r="J86" i="57"/>
  <c r="M86" i="57" s="1"/>
  <c r="F109" i="30" s="1"/>
  <c r="I86" i="57"/>
  <c r="L86" i="57" s="1"/>
  <c r="E109" i="30" s="1"/>
  <c r="N85" i="57"/>
  <c r="M85" i="57"/>
  <c r="L85" i="57"/>
  <c r="E108" i="30" s="1"/>
  <c r="K85" i="57"/>
  <c r="J85" i="57"/>
  <c r="I85" i="57"/>
  <c r="N84" i="57"/>
  <c r="K84" i="57"/>
  <c r="J84" i="57"/>
  <c r="M84" i="57" s="1"/>
  <c r="F107" i="30" s="1"/>
  <c r="I84" i="57"/>
  <c r="L84" i="57" s="1"/>
  <c r="E107" i="30" s="1"/>
  <c r="N83" i="57"/>
  <c r="M83" i="57"/>
  <c r="L83" i="57"/>
  <c r="K83" i="57"/>
  <c r="J83" i="57"/>
  <c r="I83" i="57"/>
  <c r="N82" i="57"/>
  <c r="J105" i="30" s="1"/>
  <c r="K82" i="57"/>
  <c r="J82" i="57"/>
  <c r="M82" i="57" s="1"/>
  <c r="F105" i="30" s="1"/>
  <c r="I82" i="57"/>
  <c r="L82" i="57" s="1"/>
  <c r="E105" i="30" s="1"/>
  <c r="N81" i="57"/>
  <c r="J104" i="30" s="1"/>
  <c r="M81" i="57"/>
  <c r="F104" i="30" s="1"/>
  <c r="L81" i="57"/>
  <c r="E104" i="30" s="1"/>
  <c r="K81" i="57"/>
  <c r="J81" i="57"/>
  <c r="I81" i="57"/>
  <c r="N80" i="57"/>
  <c r="M80" i="57"/>
  <c r="F103" i="30" s="1"/>
  <c r="K80" i="57"/>
  <c r="J80" i="57"/>
  <c r="I80" i="57"/>
  <c r="L80" i="57" s="1"/>
  <c r="E103" i="30" s="1"/>
  <c r="N79" i="57"/>
  <c r="J102" i="30" s="1"/>
  <c r="M79" i="57"/>
  <c r="F102" i="30" s="1"/>
  <c r="L79" i="57"/>
  <c r="E102" i="30" s="1"/>
  <c r="K79" i="57"/>
  <c r="J79" i="57"/>
  <c r="I79" i="57"/>
  <c r="N78" i="57"/>
  <c r="K78" i="57"/>
  <c r="J78" i="57"/>
  <c r="M78" i="57" s="1"/>
  <c r="F99" i="30" s="1"/>
  <c r="I78" i="57"/>
  <c r="L78" i="57" s="1"/>
  <c r="E99" i="30" s="1"/>
  <c r="E100" i="30" s="1"/>
  <c r="N77" i="57"/>
  <c r="J98" i="30" s="1"/>
  <c r="M77" i="57"/>
  <c r="F98" i="30" s="1"/>
  <c r="L77" i="57"/>
  <c r="E98" i="30" s="1"/>
  <c r="K77" i="57"/>
  <c r="J77" i="57"/>
  <c r="I77" i="57"/>
  <c r="N76" i="57"/>
  <c r="K76" i="57"/>
  <c r="J76" i="57"/>
  <c r="M76" i="57" s="1"/>
  <c r="F97" i="30" s="1"/>
  <c r="I76" i="57"/>
  <c r="L76" i="57" s="1"/>
  <c r="E97" i="30" s="1"/>
  <c r="N75" i="57"/>
  <c r="J96" i="30" s="1"/>
  <c r="M75" i="57"/>
  <c r="L75" i="57"/>
  <c r="K75" i="57"/>
  <c r="J75" i="57"/>
  <c r="I75" i="57"/>
  <c r="N74" i="57"/>
  <c r="K74" i="57"/>
  <c r="J74" i="57"/>
  <c r="M74" i="57" s="1"/>
  <c r="I74" i="57"/>
  <c r="L74" i="57" s="1"/>
  <c r="E95" i="30" s="1"/>
  <c r="N73" i="57"/>
  <c r="J94" i="30" s="1"/>
  <c r="M73" i="57"/>
  <c r="F94" i="30" s="1"/>
  <c r="L73" i="57"/>
  <c r="E94" i="30" s="1"/>
  <c r="K73" i="57"/>
  <c r="J73" i="57"/>
  <c r="I73" i="57"/>
  <c r="N72" i="57"/>
  <c r="J93" i="30" s="1"/>
  <c r="M72" i="57"/>
  <c r="F93" i="30" s="1"/>
  <c r="K72" i="57"/>
  <c r="J72" i="57"/>
  <c r="I72" i="57"/>
  <c r="L72" i="57" s="1"/>
  <c r="N71" i="57"/>
  <c r="J92" i="30" s="1"/>
  <c r="M71" i="57"/>
  <c r="F92" i="30" s="1"/>
  <c r="L71" i="57"/>
  <c r="E92" i="30" s="1"/>
  <c r="K71" i="57"/>
  <c r="J71" i="57"/>
  <c r="I71" i="57"/>
  <c r="N70" i="57"/>
  <c r="M70" i="57"/>
  <c r="K70" i="57"/>
  <c r="J70" i="57"/>
  <c r="I70" i="57"/>
  <c r="L70" i="57" s="1"/>
  <c r="N69" i="57"/>
  <c r="M69" i="57"/>
  <c r="F90" i="30" s="1"/>
  <c r="L69" i="57"/>
  <c r="E90" i="30" s="1"/>
  <c r="K69" i="57"/>
  <c r="J69" i="57"/>
  <c r="I69" i="57"/>
  <c r="N68" i="57"/>
  <c r="K68" i="57"/>
  <c r="J68" i="57"/>
  <c r="M68" i="57" s="1"/>
  <c r="I68" i="57"/>
  <c r="L68" i="57" s="1"/>
  <c r="N67" i="57"/>
  <c r="M67" i="57"/>
  <c r="F88" i="30" s="1"/>
  <c r="L67" i="57"/>
  <c r="E88" i="30" s="1"/>
  <c r="K67" i="57"/>
  <c r="J67" i="57"/>
  <c r="I67" i="57"/>
  <c r="N66" i="57"/>
  <c r="J87" i="30" s="1"/>
  <c r="K66" i="57"/>
  <c r="J66" i="57"/>
  <c r="M66" i="57" s="1"/>
  <c r="F87" i="30" s="1"/>
  <c r="I66" i="57"/>
  <c r="L66" i="57" s="1"/>
  <c r="E87" i="30" s="1"/>
  <c r="N65" i="57"/>
  <c r="M65" i="57"/>
  <c r="L65" i="57"/>
  <c r="K65" i="57"/>
  <c r="J65" i="57"/>
  <c r="I65" i="57"/>
  <c r="N64" i="57"/>
  <c r="J85" i="30" s="1"/>
  <c r="K64" i="57"/>
  <c r="J64" i="57"/>
  <c r="M64" i="57" s="1"/>
  <c r="F85" i="30" s="1"/>
  <c r="I64" i="57"/>
  <c r="L64" i="57" s="1"/>
  <c r="N63" i="57"/>
  <c r="J84" i="30" s="1"/>
  <c r="M63" i="57"/>
  <c r="F84" i="30" s="1"/>
  <c r="L63" i="57"/>
  <c r="K63" i="57"/>
  <c r="J63" i="57"/>
  <c r="I63" i="57"/>
  <c r="N62" i="57"/>
  <c r="J83" i="30" s="1"/>
  <c r="M62" i="57"/>
  <c r="F83" i="30" s="1"/>
  <c r="K62" i="57"/>
  <c r="J62" i="57"/>
  <c r="I62" i="57"/>
  <c r="L62" i="57" s="1"/>
  <c r="E83" i="30" s="1"/>
  <c r="N61" i="57"/>
  <c r="J82" i="30" s="1"/>
  <c r="M61" i="57"/>
  <c r="L61" i="57"/>
  <c r="K61" i="57"/>
  <c r="J61" i="57"/>
  <c r="I61" i="57"/>
  <c r="N60" i="57"/>
  <c r="J81" i="30" s="1"/>
  <c r="M60" i="57"/>
  <c r="F81" i="30" s="1"/>
  <c r="K60" i="57"/>
  <c r="J60" i="57"/>
  <c r="I60" i="57"/>
  <c r="L60" i="57" s="1"/>
  <c r="E81" i="30" s="1"/>
  <c r="N59" i="57"/>
  <c r="M59" i="57"/>
  <c r="F80" i="30" s="1"/>
  <c r="L59" i="57"/>
  <c r="E80" i="30" s="1"/>
  <c r="K59" i="57"/>
  <c r="J59" i="57"/>
  <c r="I59" i="57"/>
  <c r="N58" i="57"/>
  <c r="J79" i="30" s="1"/>
  <c r="K58" i="57"/>
  <c r="J58" i="57"/>
  <c r="M58" i="57" s="1"/>
  <c r="F79" i="30" s="1"/>
  <c r="I58" i="57"/>
  <c r="L58" i="57" s="1"/>
  <c r="E79" i="30" s="1"/>
  <c r="N57" i="57"/>
  <c r="M57" i="57"/>
  <c r="F78" i="30" s="1"/>
  <c r="L57" i="57"/>
  <c r="E78" i="30" s="1"/>
  <c r="K57" i="57"/>
  <c r="J57" i="57"/>
  <c r="I57" i="57"/>
  <c r="N56" i="57"/>
  <c r="K56" i="57"/>
  <c r="J56" i="57"/>
  <c r="M56" i="57" s="1"/>
  <c r="F77" i="30" s="1"/>
  <c r="I56" i="57"/>
  <c r="L56" i="57" s="1"/>
  <c r="E77" i="30" s="1"/>
  <c r="N55" i="57"/>
  <c r="M55" i="57"/>
  <c r="L55" i="57"/>
  <c r="E76" i="30" s="1"/>
  <c r="K55" i="57"/>
  <c r="J55" i="57"/>
  <c r="I55" i="57"/>
  <c r="N54" i="57"/>
  <c r="J75" i="30" s="1"/>
  <c r="K54" i="57"/>
  <c r="J54" i="57"/>
  <c r="M54" i="57" s="1"/>
  <c r="I54" i="57"/>
  <c r="L54" i="57" s="1"/>
  <c r="E75" i="30" s="1"/>
  <c r="N53" i="57"/>
  <c r="J74" i="30" s="1"/>
  <c r="M53" i="57"/>
  <c r="F74" i="30" s="1"/>
  <c r="L53" i="57"/>
  <c r="K53" i="57"/>
  <c r="J53" i="57"/>
  <c r="I53" i="57"/>
  <c r="N52" i="57"/>
  <c r="K52" i="57"/>
  <c r="J52" i="57"/>
  <c r="M52" i="57" s="1"/>
  <c r="F73" i="30" s="1"/>
  <c r="I52" i="57"/>
  <c r="L52" i="57" s="1"/>
  <c r="E73" i="30" s="1"/>
  <c r="N51" i="57"/>
  <c r="J72" i="30" s="1"/>
  <c r="M51" i="57"/>
  <c r="L51" i="57"/>
  <c r="E72" i="30" s="1"/>
  <c r="K51" i="57"/>
  <c r="J51" i="57"/>
  <c r="I51" i="57"/>
  <c r="N50" i="57"/>
  <c r="J69" i="30" s="1"/>
  <c r="K50" i="57"/>
  <c r="J50" i="57"/>
  <c r="M50" i="57" s="1"/>
  <c r="I50" i="57"/>
  <c r="L50" i="57" s="1"/>
  <c r="N49" i="57"/>
  <c r="J68" i="30" s="1"/>
  <c r="M49" i="57"/>
  <c r="F68" i="30" s="1"/>
  <c r="L49" i="57"/>
  <c r="E68" i="30" s="1"/>
  <c r="K68" i="30" s="1"/>
  <c r="K49" i="57"/>
  <c r="J49" i="57"/>
  <c r="I49" i="57"/>
  <c r="N48" i="57"/>
  <c r="J67" i="30" s="1"/>
  <c r="M48" i="57"/>
  <c r="F67" i="30" s="1"/>
  <c r="K48" i="57"/>
  <c r="J48" i="57"/>
  <c r="I48" i="57"/>
  <c r="L48" i="57" s="1"/>
  <c r="N47" i="57"/>
  <c r="M47" i="57"/>
  <c r="L47" i="57"/>
  <c r="K47" i="57"/>
  <c r="J47" i="57"/>
  <c r="I47" i="57"/>
  <c r="N46" i="57"/>
  <c r="J65" i="30" s="1"/>
  <c r="M46" i="57"/>
  <c r="K46" i="57"/>
  <c r="J46" i="57"/>
  <c r="I46" i="57"/>
  <c r="L46" i="57" s="1"/>
  <c r="N45" i="57"/>
  <c r="J64" i="30" s="1"/>
  <c r="M45" i="57"/>
  <c r="F64" i="30" s="1"/>
  <c r="L45" i="57"/>
  <c r="E64" i="30" s="1"/>
  <c r="K64" i="30" s="1"/>
  <c r="K45" i="57"/>
  <c r="J45" i="57"/>
  <c r="I45" i="57"/>
  <c r="N44" i="57"/>
  <c r="J63" i="30" s="1"/>
  <c r="M44" i="57"/>
  <c r="F63" i="30" s="1"/>
  <c r="K44" i="57"/>
  <c r="J44" i="57"/>
  <c r="I44" i="57"/>
  <c r="L44" i="57" s="1"/>
  <c r="N43" i="57"/>
  <c r="M43" i="57"/>
  <c r="L43" i="57"/>
  <c r="K43" i="57"/>
  <c r="J43" i="57"/>
  <c r="I43" i="57"/>
  <c r="N42" i="57"/>
  <c r="M42" i="57"/>
  <c r="F61" i="30" s="1"/>
  <c r="K42" i="57"/>
  <c r="J42" i="57"/>
  <c r="I42" i="57"/>
  <c r="L42" i="57" s="1"/>
  <c r="E61" i="30" s="1"/>
  <c r="K61" i="30" s="1"/>
  <c r="N41" i="57"/>
  <c r="M41" i="57"/>
  <c r="L41" i="57"/>
  <c r="K41" i="57"/>
  <c r="J41" i="57"/>
  <c r="I41" i="57"/>
  <c r="N40" i="57"/>
  <c r="J59" i="30" s="1"/>
  <c r="K40" i="57"/>
  <c r="J40" i="57"/>
  <c r="M40" i="57" s="1"/>
  <c r="F59" i="30" s="1"/>
  <c r="I40" i="57"/>
  <c r="L40" i="57" s="1"/>
  <c r="N39" i="57"/>
  <c r="M39" i="57"/>
  <c r="L39" i="57"/>
  <c r="E58" i="30" s="1"/>
  <c r="K58" i="30" s="1"/>
  <c r="K39" i="57"/>
  <c r="J39" i="57"/>
  <c r="I39" i="57"/>
  <c r="N38" i="57"/>
  <c r="K38" i="57"/>
  <c r="J38" i="57"/>
  <c r="M38" i="57" s="1"/>
  <c r="F57" i="30" s="1"/>
  <c r="I38" i="57"/>
  <c r="L38" i="57" s="1"/>
  <c r="E57" i="30" s="1"/>
  <c r="K57" i="30" s="1"/>
  <c r="N37" i="57"/>
  <c r="J56" i="30" s="1"/>
  <c r="M37" i="57"/>
  <c r="F56" i="30" s="1"/>
  <c r="L37" i="57"/>
  <c r="K37" i="57"/>
  <c r="J37" i="57"/>
  <c r="I37" i="57"/>
  <c r="N36" i="57"/>
  <c r="K36" i="57"/>
  <c r="J36" i="57"/>
  <c r="M36" i="57" s="1"/>
  <c r="F55" i="30" s="1"/>
  <c r="I36" i="57"/>
  <c r="L36" i="57" s="1"/>
  <c r="E55" i="30" s="1"/>
  <c r="K55" i="30" s="1"/>
  <c r="N35" i="57"/>
  <c r="J54" i="30" s="1"/>
  <c r="M35" i="57"/>
  <c r="F54" i="30" s="1"/>
  <c r="L35" i="57"/>
  <c r="E54" i="30" s="1"/>
  <c r="K54" i="30" s="1"/>
  <c r="K35" i="57"/>
  <c r="J35" i="57"/>
  <c r="I35" i="57"/>
  <c r="N34" i="57"/>
  <c r="K34" i="57"/>
  <c r="J34" i="57"/>
  <c r="M34" i="57" s="1"/>
  <c r="I34" i="57"/>
  <c r="L34" i="57" s="1"/>
  <c r="E53" i="30" s="1"/>
  <c r="K53" i="30" s="1"/>
  <c r="N33" i="57"/>
  <c r="J52" i="30" s="1"/>
  <c r="M33" i="57"/>
  <c r="F52" i="30" s="1"/>
  <c r="L33" i="57"/>
  <c r="E52" i="30" s="1"/>
  <c r="K52" i="30" s="1"/>
  <c r="K33" i="57"/>
  <c r="J33" i="57"/>
  <c r="I33" i="57"/>
  <c r="N32" i="57"/>
  <c r="J51" i="30" s="1"/>
  <c r="M32" i="57"/>
  <c r="F51" i="30" s="1"/>
  <c r="K32" i="57"/>
  <c r="J32" i="57"/>
  <c r="I32" i="57"/>
  <c r="L32" i="57" s="1"/>
  <c r="E51" i="30" s="1"/>
  <c r="K51" i="30" s="1"/>
  <c r="N31" i="57"/>
  <c r="M31" i="57"/>
  <c r="L31" i="57"/>
  <c r="E50" i="30" s="1"/>
  <c r="K50" i="30" s="1"/>
  <c r="K31" i="57"/>
  <c r="J31" i="57"/>
  <c r="I31" i="57"/>
  <c r="N30" i="57"/>
  <c r="K30" i="57"/>
  <c r="J30" i="57"/>
  <c r="M30" i="57" s="1"/>
  <c r="F49" i="30" s="1"/>
  <c r="I30" i="57"/>
  <c r="L30" i="57" s="1"/>
  <c r="E49" i="30" s="1"/>
  <c r="K49" i="30" s="1"/>
  <c r="N29" i="57"/>
  <c r="J48" i="30" s="1"/>
  <c r="L29" i="57"/>
  <c r="E48" i="30" s="1"/>
  <c r="K48" i="30" s="1"/>
  <c r="K29" i="57"/>
  <c r="J29" i="57"/>
  <c r="M29" i="57" s="1"/>
  <c r="F48" i="30" s="1"/>
  <c r="I29" i="57"/>
  <c r="N28" i="57"/>
  <c r="K28" i="57"/>
  <c r="J28" i="57"/>
  <c r="M28" i="57" s="1"/>
  <c r="I28" i="57"/>
  <c r="L28" i="57" s="1"/>
  <c r="N27" i="57"/>
  <c r="L27" i="57"/>
  <c r="K27" i="57"/>
  <c r="J27" i="57"/>
  <c r="M27" i="57" s="1"/>
  <c r="I27" i="57"/>
  <c r="N26" i="57"/>
  <c r="J45" i="30" s="1"/>
  <c r="K26" i="57"/>
  <c r="J26" i="57"/>
  <c r="M26" i="57" s="1"/>
  <c r="F45" i="30" s="1"/>
  <c r="I26" i="57"/>
  <c r="L26" i="57" s="1"/>
  <c r="E45" i="30" s="1"/>
  <c r="K45" i="30" s="1"/>
  <c r="N25" i="57"/>
  <c r="J44" i="30" s="1"/>
  <c r="M25" i="57"/>
  <c r="F44" i="30" s="1"/>
  <c r="L25" i="57"/>
  <c r="K25" i="57"/>
  <c r="J25" i="57"/>
  <c r="I25" i="57"/>
  <c r="N24" i="57"/>
  <c r="J43" i="30" s="1"/>
  <c r="M24" i="57"/>
  <c r="F43" i="30" s="1"/>
  <c r="K24" i="57"/>
  <c r="J24" i="57"/>
  <c r="I24" i="57"/>
  <c r="L24" i="57" s="1"/>
  <c r="N23" i="57"/>
  <c r="J42" i="30" s="1"/>
  <c r="M23" i="57"/>
  <c r="L23" i="57"/>
  <c r="K23" i="57"/>
  <c r="J23" i="57"/>
  <c r="I23" i="57"/>
  <c r="N22" i="57"/>
  <c r="J41" i="30" s="1"/>
  <c r="M22" i="57"/>
  <c r="K22" i="57"/>
  <c r="J22" i="57"/>
  <c r="I22" i="57"/>
  <c r="L22" i="57" s="1"/>
  <c r="N21" i="57"/>
  <c r="J33" i="30" s="1"/>
  <c r="M21" i="57"/>
  <c r="F33" i="30" s="1"/>
  <c r="L21" i="57"/>
  <c r="K21" i="57"/>
  <c r="J21" i="57"/>
  <c r="I21" i="57"/>
  <c r="N20" i="57"/>
  <c r="J32" i="30" s="1"/>
  <c r="K20" i="57"/>
  <c r="J20" i="57"/>
  <c r="M20" i="57" s="1"/>
  <c r="F32" i="30" s="1"/>
  <c r="I20" i="57"/>
  <c r="L20" i="57" s="1"/>
  <c r="N19" i="57"/>
  <c r="L19" i="57"/>
  <c r="E31" i="30" s="1"/>
  <c r="K19" i="57"/>
  <c r="J19" i="57"/>
  <c r="M19" i="57" s="1"/>
  <c r="F31" i="30" s="1"/>
  <c r="I19" i="57"/>
  <c r="N18" i="57"/>
  <c r="J30" i="30" s="1"/>
  <c r="K18" i="57"/>
  <c r="J18" i="57"/>
  <c r="M18" i="57" s="1"/>
  <c r="F30" i="30" s="1"/>
  <c r="I18" i="57"/>
  <c r="L18" i="57" s="1"/>
  <c r="E30" i="30" s="1"/>
  <c r="AA16" i="57"/>
  <c r="N16" i="57"/>
  <c r="AA15" i="57"/>
  <c r="N15" i="57"/>
  <c r="I19" i="40" s="1"/>
  <c r="M15" i="57"/>
  <c r="U14" i="57"/>
  <c r="N14" i="57"/>
  <c r="I18" i="40" s="1"/>
  <c r="M14" i="57"/>
  <c r="E18" i="40" s="1"/>
  <c r="N13" i="57"/>
  <c r="M13" i="57"/>
  <c r="E17" i="40" s="1"/>
  <c r="AA12" i="57"/>
  <c r="N12" i="57"/>
  <c r="I16" i="40" s="1"/>
  <c r="M12" i="57"/>
  <c r="N11" i="57"/>
  <c r="M11" i="57"/>
  <c r="N3" i="57"/>
  <c r="C34" i="56"/>
  <c r="E32" i="56"/>
  <c r="C32" i="56"/>
  <c r="C31" i="56"/>
  <c r="E30" i="56"/>
  <c r="C30" i="56"/>
  <c r="E29" i="56"/>
  <c r="C29" i="56"/>
  <c r="C8" i="56"/>
  <c r="D3" i="34" s="1"/>
  <c r="C7" i="56"/>
  <c r="E6" i="56"/>
  <c r="C6" i="56"/>
  <c r="E21" i="30" s="1"/>
  <c r="E5" i="56"/>
  <c r="C5" i="56"/>
  <c r="D5" i="41" s="1"/>
  <c r="C4" i="56"/>
  <c r="E3" i="56"/>
  <c r="C3" i="56"/>
  <c r="D5" i="40" s="1"/>
  <c r="C2" i="56"/>
  <c r="I53" i="55"/>
  <c r="H53" i="55"/>
  <c r="G53" i="55"/>
  <c r="J52" i="55"/>
  <c r="I52" i="55"/>
  <c r="H52" i="55"/>
  <c r="G52" i="55"/>
  <c r="E29" i="55" s="1"/>
  <c r="I51" i="55"/>
  <c r="H51" i="55"/>
  <c r="G51" i="55"/>
  <c r="J50" i="55"/>
  <c r="I50" i="55"/>
  <c r="H50" i="55"/>
  <c r="G50" i="55"/>
  <c r="J49" i="55"/>
  <c r="I49" i="55"/>
  <c r="H49" i="55"/>
  <c r="G49" i="55"/>
  <c r="I48" i="55"/>
  <c r="H48" i="55"/>
  <c r="G48" i="55"/>
  <c r="J47" i="55"/>
  <c r="I47" i="55"/>
  <c r="H47" i="55"/>
  <c r="G47" i="55"/>
  <c r="I46" i="55"/>
  <c r="K45" i="55"/>
  <c r="J45" i="55"/>
  <c r="I45" i="55"/>
  <c r="G36" i="55"/>
  <c r="F36" i="55"/>
  <c r="E32"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s="1"/>
  <c r="F14" i="54"/>
  <c r="E14" i="54"/>
  <c r="G13" i="54"/>
  <c r="E13" i="54"/>
  <c r="S11" i="51" a="1"/>
  <c r="S11" i="51" s="1"/>
  <c r="G11" i="51"/>
  <c r="O9" i="51"/>
  <c r="S2" i="51" a="1"/>
  <c r="S2" i="51"/>
  <c r="G2" i="51"/>
  <c r="R10" i="50"/>
  <c r="P10" i="50" a="1"/>
  <c r="P10" i="50" s="1"/>
  <c r="K8" i="50"/>
  <c r="J8" i="50"/>
  <c r="G8" i="50"/>
  <c r="R2" i="50"/>
  <c r="P2" i="50" a="1"/>
  <c r="P2" i="50"/>
  <c r="P9" i="49"/>
  <c r="N9" i="49" a="1"/>
  <c r="N9" i="49" s="1"/>
  <c r="E5" i="49"/>
  <c r="P2" i="49"/>
  <c r="N2" i="49" a="1"/>
  <c r="N2" i="49"/>
  <c r="F12" i="48"/>
  <c r="F10" i="50" s="1"/>
  <c r="D6" i="48"/>
  <c r="D5" i="48"/>
  <c r="I14" i="45"/>
  <c r="G14" i="45"/>
  <c r="I11" i="45"/>
  <c r="G11" i="45"/>
  <c r="G10" i="45"/>
  <c r="G9" i="45"/>
  <c r="D6" i="45"/>
  <c r="E13" i="44"/>
  <c r="H12" i="44"/>
  <c r="E12" i="44"/>
  <c r="E11" i="44"/>
  <c r="E10" i="44"/>
  <c r="D6" i="44"/>
  <c r="D5" i="44"/>
  <c r="G312" i="43"/>
  <c r="G297" i="43"/>
  <c r="F294" i="43"/>
  <c r="F291" i="43"/>
  <c r="F288" i="43"/>
  <c r="G285" i="43"/>
  <c r="G276" i="43"/>
  <c r="F273" i="43"/>
  <c r="F270" i="43"/>
  <c r="G264" i="43"/>
  <c r="F264" i="43"/>
  <c r="M258" i="43"/>
  <c r="F257" i="43"/>
  <c r="F251" i="43"/>
  <c r="F248" i="43"/>
  <c r="G245" i="43"/>
  <c r="F245" i="43"/>
  <c r="F236" i="43"/>
  <c r="G233" i="43"/>
  <c r="G215" i="43"/>
  <c r="F215" i="43"/>
  <c r="F212" i="43"/>
  <c r="G209" i="43"/>
  <c r="F199" i="43"/>
  <c r="G196" i="43"/>
  <c r="F196" i="43"/>
  <c r="F193" i="43"/>
  <c r="F175" i="43"/>
  <c r="G163" i="43"/>
  <c r="F154" i="43"/>
  <c r="F151" i="43"/>
  <c r="M142" i="43"/>
  <c r="G142" i="43"/>
  <c r="F141" i="43"/>
  <c r="F135" i="43"/>
  <c r="F132" i="43"/>
  <c r="G123" i="43"/>
  <c r="G105" i="43"/>
  <c r="F105" i="43"/>
  <c r="F99" i="43"/>
  <c r="F96" i="43"/>
  <c r="F90" i="43"/>
  <c r="M84" i="43"/>
  <c r="F81" i="43"/>
  <c r="G78" i="43"/>
  <c r="F78" i="43"/>
  <c r="G75" i="43"/>
  <c r="F75" i="43"/>
  <c r="G66" i="43"/>
  <c r="F60" i="43"/>
  <c r="G57" i="43"/>
  <c r="F54" i="43"/>
  <c r="G39" i="43"/>
  <c r="F39" i="43"/>
  <c r="F36" i="43"/>
  <c r="G33" i="43"/>
  <c r="F33" i="43"/>
  <c r="G30" i="43"/>
  <c r="M24" i="43"/>
  <c r="F23" i="43"/>
  <c r="G17" i="43"/>
  <c r="F17" i="43"/>
  <c r="G16" i="43"/>
  <c r="F16" i="43"/>
  <c r="E14" i="43"/>
  <c r="N7" i="43"/>
  <c r="N4" i="43"/>
  <c r="G2" i="43"/>
  <c r="N1" i="43"/>
  <c r="E42" i="42"/>
  <c r="E38" i="42"/>
  <c r="E35" i="42"/>
  <c r="E32" i="42"/>
  <c r="E31" i="42"/>
  <c r="E28" i="42"/>
  <c r="E25" i="42"/>
  <c r="E24" i="42"/>
  <c r="D15" i="42"/>
  <c r="D14" i="42"/>
  <c r="G17" i="41"/>
  <c r="E16" i="41"/>
  <c r="G14" i="41"/>
  <c r="E13" i="41"/>
  <c r="D6" i="41"/>
  <c r="I21" i="40"/>
  <c r="F21" i="40"/>
  <c r="H19" i="40"/>
  <c r="G19" i="40"/>
  <c r="F19" i="40"/>
  <c r="E19" i="40"/>
  <c r="I17" i="40"/>
  <c r="E16" i="40"/>
  <c r="I15" i="40"/>
  <c r="E15" i="40"/>
  <c r="H14" i="40"/>
  <c r="G14" i="40"/>
  <c r="G11" i="40"/>
  <c r="G10" i="40"/>
  <c r="H9" i="40"/>
  <c r="G9" i="40"/>
  <c r="D6" i="40"/>
  <c r="F2" i="40"/>
  <c r="F6" i="39"/>
  <c r="H57" i="38"/>
  <c r="H56" i="38"/>
  <c r="H55" i="38"/>
  <c r="I54" i="38"/>
  <c r="H54" i="38"/>
  <c r="H53" i="38"/>
  <c r="H52" i="38"/>
  <c r="H51" i="38"/>
  <c r="H50" i="38"/>
  <c r="I49" i="38"/>
  <c r="H49" i="38"/>
  <c r="I48" i="38"/>
  <c r="H48" i="38"/>
  <c r="H47" i="38"/>
  <c r="H46" i="38"/>
  <c r="H45" i="38"/>
  <c r="I44" i="38"/>
  <c r="H44" i="38" s="1"/>
  <c r="H43" i="38"/>
  <c r="H42" i="38"/>
  <c r="H41" i="38"/>
  <c r="H40" i="38"/>
  <c r="I39" i="38"/>
  <c r="H39" i="38"/>
  <c r="I38" i="38"/>
  <c r="I58" i="38" s="1"/>
  <c r="H58" i="38" s="1"/>
  <c r="H38" i="38"/>
  <c r="H35" i="38"/>
  <c r="H34" i="38"/>
  <c r="H33" i="38"/>
  <c r="I32" i="38"/>
  <c r="H32" i="38"/>
  <c r="H31" i="38"/>
  <c r="H30" i="38"/>
  <c r="H29" i="38"/>
  <c r="I28" i="38"/>
  <c r="H28" i="38"/>
  <c r="H27" i="38"/>
  <c r="H26" i="38"/>
  <c r="H25" i="38"/>
  <c r="H24" i="38"/>
  <c r="H23" i="38"/>
  <c r="H22" i="38"/>
  <c r="H21" i="38"/>
  <c r="H20" i="38"/>
  <c r="H19" i="38"/>
  <c r="H18" i="38"/>
  <c r="H17" i="38"/>
  <c r="H16" i="38"/>
  <c r="I15" i="38"/>
  <c r="I36" i="38" s="1"/>
  <c r="H36" i="38" s="1"/>
  <c r="H15" i="38"/>
  <c r="H11" i="38"/>
  <c r="F6" i="38"/>
  <c r="F5" i="38"/>
  <c r="F6" i="37"/>
  <c r="H15" i="36"/>
  <c r="F6" i="36"/>
  <c r="F5" i="36"/>
  <c r="I28" i="35"/>
  <c r="G28" i="35"/>
  <c r="G27" i="35"/>
  <c r="I26" i="35"/>
  <c r="G26" i="35"/>
  <c r="D23" i="35"/>
  <c r="D22" i="35"/>
  <c r="D14" i="35"/>
  <c r="D13" i="35"/>
  <c r="D11" i="35"/>
  <c r="D10" i="35"/>
  <c r="D9" i="35"/>
  <c r="D7" i="35"/>
  <c r="D6" i="35"/>
  <c r="D4" i="35"/>
  <c r="D3" i="35"/>
  <c r="J12" i="34"/>
  <c r="I12" i="34"/>
  <c r="H12" i="34"/>
  <c r="G12" i="34"/>
  <c r="G9" i="34"/>
  <c r="G8" i="34"/>
  <c r="I7" i="34"/>
  <c r="G7" i="34"/>
  <c r="D4" i="34"/>
  <c r="E28" i="33"/>
  <c r="I27" i="33"/>
  <c r="H27" i="33"/>
  <c r="H16" i="33" s="1"/>
  <c r="I16" i="33"/>
  <c r="I12" i="33"/>
  <c r="H12" i="33"/>
  <c r="H11" i="33"/>
  <c r="I10" i="33"/>
  <c r="H10" i="33"/>
  <c r="E7" i="33"/>
  <c r="E33" i="32"/>
  <c r="I32" i="32"/>
  <c r="I16" i="32" s="1"/>
  <c r="H32" i="32"/>
  <c r="H16" i="32" s="1"/>
  <c r="I12" i="32"/>
  <c r="H12" i="32"/>
  <c r="H11" i="32"/>
  <c r="H10" i="32"/>
  <c r="E7" i="32"/>
  <c r="V20" i="31"/>
  <c r="Q20" i="31"/>
  <c r="V17" i="31"/>
  <c r="Q17" i="31"/>
  <c r="H15" i="31"/>
  <c r="E6" i="31"/>
  <c r="E5" i="31"/>
  <c r="J130" i="30"/>
  <c r="F130" i="30"/>
  <c r="F129" i="30"/>
  <c r="J128" i="30"/>
  <c r="E123" i="30"/>
  <c r="E124" i="30" s="1"/>
  <c r="F120" i="30"/>
  <c r="E120" i="30"/>
  <c r="E121" i="30" s="1"/>
  <c r="E118" i="30"/>
  <c r="F117" i="30"/>
  <c r="E117" i="30"/>
  <c r="E115" i="30"/>
  <c r="J114" i="30"/>
  <c r="F114" i="30"/>
  <c r="E113" i="30"/>
  <c r="J112" i="30"/>
  <c r="F112" i="30"/>
  <c r="E111" i="30"/>
  <c r="F110" i="30"/>
  <c r="E110" i="30"/>
  <c r="J109" i="30"/>
  <c r="J108" i="30"/>
  <c r="F108" i="30"/>
  <c r="J107" i="30"/>
  <c r="J106" i="30"/>
  <c r="F106" i="30"/>
  <c r="E106" i="30"/>
  <c r="J103" i="30"/>
  <c r="J99" i="30"/>
  <c r="J97" i="30"/>
  <c r="F96" i="30"/>
  <c r="E96" i="30"/>
  <c r="J95" i="30"/>
  <c r="F95" i="30"/>
  <c r="E93" i="30"/>
  <c r="J91" i="30"/>
  <c r="F91" i="30"/>
  <c r="E91" i="30"/>
  <c r="J90" i="30"/>
  <c r="J89" i="30"/>
  <c r="F89" i="30"/>
  <c r="E89" i="30"/>
  <c r="J88" i="30"/>
  <c r="I87" i="30"/>
  <c r="H87" i="30"/>
  <c r="J86" i="30"/>
  <c r="F86" i="30"/>
  <c r="E86" i="30"/>
  <c r="E85" i="30"/>
  <c r="E84" i="30"/>
  <c r="F82" i="30"/>
  <c r="E82" i="30"/>
  <c r="J80" i="30"/>
  <c r="J78" i="30"/>
  <c r="J77" i="30"/>
  <c r="J76" i="30"/>
  <c r="F76" i="30"/>
  <c r="F75" i="30"/>
  <c r="E74" i="30"/>
  <c r="J73" i="30"/>
  <c r="F72" i="30"/>
  <c r="I69" i="30"/>
  <c r="H69" i="30"/>
  <c r="F69" i="30"/>
  <c r="E69" i="30"/>
  <c r="L68" i="30"/>
  <c r="E67" i="30"/>
  <c r="K67" i="30" s="1"/>
  <c r="K66" i="30"/>
  <c r="J66" i="30"/>
  <c r="L66" i="30" s="1"/>
  <c r="F66" i="30"/>
  <c r="E66" i="30"/>
  <c r="K65" i="30"/>
  <c r="F65" i="30"/>
  <c r="E65" i="30"/>
  <c r="E63" i="30"/>
  <c r="K63" i="30" s="1"/>
  <c r="J62" i="30"/>
  <c r="F62" i="30"/>
  <c r="E62" i="30"/>
  <c r="K62" i="30" s="1"/>
  <c r="J61" i="30"/>
  <c r="K60" i="30"/>
  <c r="J60" i="30"/>
  <c r="F60" i="30"/>
  <c r="E60" i="30"/>
  <c r="E59" i="30"/>
  <c r="K59" i="30" s="1"/>
  <c r="J58" i="30"/>
  <c r="F58" i="30"/>
  <c r="J57" i="30"/>
  <c r="E56" i="30"/>
  <c r="K56" i="30" s="1"/>
  <c r="J55" i="30"/>
  <c r="J53" i="30"/>
  <c r="F53" i="30"/>
  <c r="J50" i="30"/>
  <c r="F50" i="30"/>
  <c r="J49" i="30"/>
  <c r="J47" i="30"/>
  <c r="F47" i="30"/>
  <c r="E47" i="30"/>
  <c r="K47" i="30" s="1"/>
  <c r="J46" i="30"/>
  <c r="F46" i="30"/>
  <c r="E46" i="30"/>
  <c r="K46" i="30" s="1"/>
  <c r="E44" i="30"/>
  <c r="K44" i="30" s="1"/>
  <c r="E43" i="30"/>
  <c r="K43" i="30" s="1"/>
  <c r="F42" i="30"/>
  <c r="E42" i="30"/>
  <c r="K42" i="30" s="1"/>
  <c r="F41" i="30"/>
  <c r="E41" i="30"/>
  <c r="K41" i="30" s="1"/>
  <c r="K40" i="30"/>
  <c r="K39" i="30"/>
  <c r="K38" i="30"/>
  <c r="K37" i="30"/>
  <c r="K36" i="30"/>
  <c r="K35" i="30"/>
  <c r="K34" i="30"/>
  <c r="I33" i="30"/>
  <c r="H33" i="30"/>
  <c r="E33" i="30"/>
  <c r="E32" i="30"/>
  <c r="K32" i="30" s="1"/>
  <c r="J31" i="30"/>
  <c r="I27"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AN44" i="28"/>
  <c r="AN43" i="28"/>
  <c r="AC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AC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AD47" i="26"/>
  <c r="BF46" i="26"/>
  <c r="BC46" i="26"/>
  <c r="AX45" i="26"/>
  <c r="AY45" i="26" s="1"/>
  <c r="BA45" i="26" s="1"/>
  <c r="BB45" i="26" s="1"/>
  <c r="BC45" i="26" s="1"/>
  <c r="AW45" i="26"/>
  <c r="X45" i="26"/>
  <c r="Y45" i="26" s="1"/>
  <c r="Z45" i="26" s="1"/>
  <c r="AA45" i="26" s="1"/>
  <c r="AC45" i="26" s="1"/>
  <c r="AD45" i="26" s="1"/>
  <c r="W45" i="26"/>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J6" i="25"/>
  <c r="AN5" i="25"/>
  <c r="S5" i="25"/>
  <c r="I5" i="25"/>
  <c r="AN4" i="25"/>
  <c r="AC4" i="25"/>
  <c r="S4" i="25"/>
  <c r="AN3" i="25"/>
  <c r="AC3" i="25"/>
  <c r="S3" i="25"/>
  <c r="AN2" i="25"/>
  <c r="AK2" i="25"/>
  <c r="AC2" i="25"/>
  <c r="S2" i="25"/>
  <c r="AN53" i="24"/>
  <c r="AN52" i="24"/>
  <c r="AN51" i="24"/>
  <c r="AN50" i="24"/>
  <c r="AN49" i="24"/>
  <c r="AN48" i="24"/>
  <c r="AN47" i="24"/>
  <c r="AE47" i="24"/>
  <c r="X47" i="24"/>
  <c r="AN46" i="24"/>
  <c r="AK46" i="24"/>
  <c r="AN45" i="24"/>
  <c r="AN44" i="24"/>
  <c r="I44" i="24"/>
  <c r="J45" i="24" s="1"/>
  <c r="K46" i="24" s="1"/>
  <c r="S46" i="24" s="1"/>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D46" i="23"/>
  <c r="BA45" i="23"/>
  <c r="BB45" i="23" s="1"/>
  <c r="BC45" i="23" s="1"/>
  <c r="AW45" i="23"/>
  <c r="AX45" i="23" s="1"/>
  <c r="AY45" i="23" s="1"/>
  <c r="V45" i="23"/>
  <c r="W45" i="23" s="1"/>
  <c r="X45" i="23" s="1"/>
  <c r="Y45" i="23" s="1"/>
  <c r="Z45" i="23" s="1"/>
  <c r="AA45" i="23" s="1"/>
  <c r="AC45" i="23" s="1"/>
  <c r="AD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J45" i="22"/>
  <c r="K46" i="22" s="1"/>
  <c r="S46" i="22" s="1"/>
  <c r="AN44" i="22"/>
  <c r="S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J45" i="21"/>
  <c r="K46" i="21" s="1"/>
  <c r="S46" i="21" s="1"/>
  <c r="AN44" i="21"/>
  <c r="AN43" i="21"/>
  <c r="AN42" i="21"/>
  <c r="AN41" i="21"/>
  <c r="AK41" i="21"/>
  <c r="AB40" i="21"/>
  <c r="AC40" i="21" s="1"/>
  <c r="AD40" i="21" s="1"/>
  <c r="AE40" i="21" s="1"/>
  <c r="AF40" i="21" s="1"/>
  <c r="AG40" i="21" s="1"/>
  <c r="AI40" i="21" s="1"/>
  <c r="AJ40" i="21" s="1"/>
  <c r="AK40" i="21" s="1"/>
  <c r="X40" i="21"/>
  <c r="Y40" i="21" s="1"/>
  <c r="Z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S5" i="21"/>
  <c r="I5" i="21"/>
  <c r="AN4" i="21"/>
  <c r="AC4" i="21"/>
  <c r="S4" i="21"/>
  <c r="AN3" i="21"/>
  <c r="AC3" i="21"/>
  <c r="S3" i="21"/>
  <c r="AN2" i="21"/>
  <c r="AK2" i="21"/>
  <c r="AC2" i="21"/>
  <c r="S2" i="21"/>
  <c r="AN53" i="20"/>
  <c r="AN52" i="20"/>
  <c r="AN51" i="20"/>
  <c r="AN50" i="20"/>
  <c r="AN49" i="20"/>
  <c r="AN48" i="20"/>
  <c r="AN47" i="20"/>
  <c r="AE47" i="20"/>
  <c r="X47" i="20"/>
  <c r="AN46" i="20"/>
  <c r="AK46" i="20"/>
  <c r="AN45" i="20"/>
  <c r="AN44" i="20"/>
  <c r="AN43" i="20"/>
  <c r="S43" i="20"/>
  <c r="I44" i="20" s="1"/>
  <c r="AN42" i="20"/>
  <c r="S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J6"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C43" i="19"/>
  <c r="AN42" i="19"/>
  <c r="AC42" i="19"/>
  <c r="S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6" i="18"/>
  <c r="AX65" i="18"/>
  <c r="AX64" i="18"/>
  <c r="AX63" i="18"/>
  <c r="AX62" i="18"/>
  <c r="AX61" i="18"/>
  <c r="AX60" i="18"/>
  <c r="AX59" i="18"/>
  <c r="AX58" i="18"/>
  <c r="AO58" i="18"/>
  <c r="W58" i="18"/>
  <c r="AX55" i="18"/>
  <c r="K55" i="18"/>
  <c r="S55" i="18" s="1"/>
  <c r="AX54" i="18"/>
  <c r="AO54" i="18"/>
  <c r="W54" i="18"/>
  <c r="AX51" i="18"/>
  <c r="AX50" i="18"/>
  <c r="AX49" i="18"/>
  <c r="AX48" i="18"/>
  <c r="AB48" i="18"/>
  <c r="AX47" i="18"/>
  <c r="AB47" i="18"/>
  <c r="AX46" i="18"/>
  <c r="AB46" i="18"/>
  <c r="AX45" i="18"/>
  <c r="AU45" i="18"/>
  <c r="AB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AX4" i="18"/>
  <c r="AB4" i="18"/>
  <c r="S4" i="18"/>
  <c r="AX3" i="18"/>
  <c r="AB3" i="18"/>
  <c r="S3" i="18"/>
  <c r="AX2" i="18"/>
  <c r="AB2" i="18"/>
  <c r="S2" i="18"/>
  <c r="CM107" i="17"/>
  <c r="CM106" i="17"/>
  <c r="CM105" i="17"/>
  <c r="CM104" i="17"/>
  <c r="CM103" i="17"/>
  <c r="CM102" i="17"/>
  <c r="CM101" i="17"/>
  <c r="CD100" i="17"/>
  <c r="AB100" i="17"/>
  <c r="CM99" i="17"/>
  <c r="BU99" i="17"/>
  <c r="BL99" i="17"/>
  <c r="BC99" i="17"/>
  <c r="AT99" i="17"/>
  <c r="AK99" i="17"/>
  <c r="L98" i="17"/>
  <c r="U98" i="17" s="1"/>
  <c r="CM97" i="17"/>
  <c r="CM96" i="17"/>
  <c r="U96" i="17"/>
  <c r="CM95" i="17"/>
  <c r="CM94" i="17"/>
  <c r="CM93" i="17"/>
  <c r="CM92" i="17"/>
  <c r="U92" i="17"/>
  <c r="CM91" i="17"/>
  <c r="CM90" i="17"/>
  <c r="CM89" i="17"/>
  <c r="CM88" i="17"/>
  <c r="CM87" i="17"/>
  <c r="CD86" i="17"/>
  <c r="AB86" i="17"/>
  <c r="CM85" i="17"/>
  <c r="BU85" i="17"/>
  <c r="BL85" i="17"/>
  <c r="BC85" i="17"/>
  <c r="AT85" i="17"/>
  <c r="AK85" i="17"/>
  <c r="CM83" i="17"/>
  <c r="K83" i="17"/>
  <c r="U83" i="17" s="1"/>
  <c r="CM82" i="17"/>
  <c r="CM81" i="17"/>
  <c r="CM80" i="17"/>
  <c r="U80" i="17"/>
  <c r="I81" i="17" s="1"/>
  <c r="J82" i="17" s="1"/>
  <c r="U82" i="17" s="1"/>
  <c r="CM79" i="17"/>
  <c r="CM78" i="17"/>
  <c r="CM77" i="17"/>
  <c r="CM76" i="17"/>
  <c r="CM75" i="17"/>
  <c r="CM74" i="17"/>
  <c r="CM73" i="17"/>
  <c r="CM71" i="17"/>
  <c r="CD71" i="17"/>
  <c r="BU71" i="17"/>
  <c r="BL71" i="17"/>
  <c r="BC71" i="17"/>
  <c r="AT71" i="17"/>
  <c r="AK71" i="17"/>
  <c r="AB71" i="17"/>
  <c r="CM69" i="17"/>
  <c r="CM68" i="17"/>
  <c r="CM67" i="17"/>
  <c r="CM66" i="17"/>
  <c r="CM65" i="17"/>
  <c r="U65" i="17"/>
  <c r="CM64" i="17"/>
  <c r="CM63" i="17"/>
  <c r="CM62" i="17"/>
  <c r="CM61" i="17"/>
  <c r="CM60" i="17"/>
  <c r="CM59" i="17"/>
  <c r="CM58" i="17"/>
  <c r="CD58" i="17"/>
  <c r="AB58" i="17"/>
  <c r="CM57" i="17"/>
  <c r="BU57" i="17"/>
  <c r="BL57" i="17"/>
  <c r="BC57" i="17"/>
  <c r="AT57" i="17"/>
  <c r="AK57" i="17"/>
  <c r="CM56" i="17"/>
  <c r="CM55" i="17"/>
  <c r="CM54" i="17"/>
  <c r="CM53" i="17"/>
  <c r="CM52" i="17"/>
  <c r="AG52" i="17"/>
  <c r="CM51" i="17"/>
  <c r="AG51" i="17"/>
  <c r="CM50" i="17"/>
  <c r="U50" i="17"/>
  <c r="CM49" i="17"/>
  <c r="CJ49" i="17"/>
  <c r="CC48" i="17"/>
  <c r="CD48" i="17" s="1"/>
  <c r="CE48" i="17" s="1"/>
  <c r="CF48" i="17" s="1"/>
  <c r="CH48" i="17" s="1"/>
  <c r="CI48" i="17" s="1"/>
  <c r="CJ48" i="17" s="1"/>
  <c r="BT48" i="17"/>
  <c r="BU48" i="17" s="1"/>
  <c r="BV48" i="17" s="1"/>
  <c r="BW48" i="17" s="1"/>
  <c r="BY48" i="17" s="1"/>
  <c r="BZ48" i="17" s="1"/>
  <c r="BK48" i="17"/>
  <c r="BL48" i="17" s="1"/>
  <c r="BM48" i="17" s="1"/>
  <c r="BN48" i="17" s="1"/>
  <c r="BP48" i="17" s="1"/>
  <c r="BQ48" i="17" s="1"/>
  <c r="BE48" i="17"/>
  <c r="BG48" i="17" s="1"/>
  <c r="BH48" i="17" s="1"/>
  <c r="BB48" i="17"/>
  <c r="BC48" i="17" s="1"/>
  <c r="BD48" i="17" s="1"/>
  <c r="AS48" i="17"/>
  <c r="AT48" i="17" s="1"/>
  <c r="AU48" i="17" s="1"/>
  <c r="AV48" i="17" s="1"/>
  <c r="AX48" i="17" s="1"/>
  <c r="AY48" i="17" s="1"/>
  <c r="AJ48" i="17"/>
  <c r="AK48" i="17" s="1"/>
  <c r="AL48" i="17" s="1"/>
  <c r="AM48" i="17" s="1"/>
  <c r="AO48" i="17" s="1"/>
  <c r="AP48" i="17" s="1"/>
  <c r="AC48" i="17"/>
  <c r="AD48" i="17" s="1"/>
  <c r="AF48" i="17" s="1"/>
  <c r="AG48" i="17" s="1"/>
  <c r="AA48" i="17"/>
  <c r="AB48" i="17" s="1"/>
  <c r="W48" i="17"/>
  <c r="X48" i="17" s="1"/>
  <c r="BZ39" i="17"/>
  <c r="BQ39" i="17"/>
  <c r="BH39" i="17"/>
  <c r="AY39" i="17"/>
  <c r="AP39" i="17"/>
  <c r="AG39" i="17"/>
  <c r="X39" i="17"/>
  <c r="BZ38" i="17"/>
  <c r="BQ38" i="17"/>
  <c r="BH38" i="17"/>
  <c r="AY38" i="17"/>
  <c r="AP38" i="17"/>
  <c r="AG38" i="17"/>
  <c r="X38" i="17"/>
  <c r="BZ36" i="17"/>
  <c r="BQ36" i="17"/>
  <c r="BH36" i="17"/>
  <c r="AY36" i="17"/>
  <c r="AP36" i="17"/>
  <c r="AG36" i="17"/>
  <c r="X36" i="17"/>
  <c r="BZ35" i="17"/>
  <c r="BQ35" i="17"/>
  <c r="BH35" i="17"/>
  <c r="AY35" i="17"/>
  <c r="AP35" i="17"/>
  <c r="AG35" i="17"/>
  <c r="X35" i="17"/>
  <c r="BZ34" i="17"/>
  <c r="BQ34" i="17"/>
  <c r="BH34" i="17"/>
  <c r="AY34" i="17"/>
  <c r="AP34" i="17"/>
  <c r="AG34" i="17"/>
  <c r="X34" i="17"/>
  <c r="BZ33" i="17"/>
  <c r="BQ33" i="17"/>
  <c r="BH33" i="17"/>
  <c r="AY33" i="17"/>
  <c r="AP33" i="17"/>
  <c r="AG33" i="17"/>
  <c r="X33" i="17"/>
  <c r="U31" i="17"/>
  <c r="U30" i="17"/>
  <c r="AK22" i="17"/>
  <c r="CM17" i="17"/>
  <c r="CM16" i="17"/>
  <c r="CM15" i="17"/>
  <c r="CM14" i="17"/>
  <c r="CM13" i="17"/>
  <c r="CM12" i="17"/>
  <c r="CM10" i="17"/>
  <c r="CD10" i="17"/>
  <c r="BU10" i="17"/>
  <c r="BL10" i="17"/>
  <c r="BC10" i="17"/>
  <c r="AT10" i="17"/>
  <c r="AK10" i="17"/>
  <c r="AB10" i="17"/>
  <c r="L9" i="17"/>
  <c r="U9" i="17" s="1"/>
  <c r="CM8" i="17"/>
  <c r="CM7" i="17"/>
  <c r="J7" i="17"/>
  <c r="K8" i="17" s="1"/>
  <c r="U8" i="17" s="1"/>
  <c r="CM6" i="17"/>
  <c r="CM5" i="17"/>
  <c r="AG5" i="17"/>
  <c r="U5" i="17"/>
  <c r="I6" i="17" s="1"/>
  <c r="CM4" i="17"/>
  <c r="AG4" i="17"/>
  <c r="U4" i="17"/>
  <c r="CM3" i="17"/>
  <c r="AG3" i="17"/>
  <c r="U3" i="17"/>
  <c r="CM2" i="17"/>
  <c r="AG2" i="17"/>
  <c r="U2" i="17"/>
  <c r="AP57" i="16"/>
  <c r="AP56" i="16"/>
  <c r="AP55" i="16"/>
  <c r="AP54" i="16"/>
  <c r="AP53" i="16"/>
  <c r="AP52" i="16"/>
  <c r="AP51" i="16"/>
  <c r="AP50" i="16"/>
  <c r="AG50" i="16"/>
  <c r="Y50" i="16"/>
  <c r="AP49" i="16"/>
  <c r="AP48" i="16"/>
  <c r="AP47" i="16"/>
  <c r="AP46" i="16"/>
  <c r="S46" i="16"/>
  <c r="AP45" i="16"/>
  <c r="AP44" i="16"/>
  <c r="AD44" i="16"/>
  <c r="AP43" i="16"/>
  <c r="AM43" i="16"/>
  <c r="AD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D45" i="15"/>
  <c r="AP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CD93" i="14"/>
  <c r="CD92" i="14"/>
  <c r="CD91" i="14"/>
  <c r="CD90" i="14"/>
  <c r="CD89" i="14"/>
  <c r="CD88" i="14"/>
  <c r="CD87" i="14"/>
  <c r="CD86" i="14"/>
  <c r="BU86" i="14"/>
  <c r="BM86" i="14"/>
  <c r="BE86" i="14"/>
  <c r="AW86" i="14"/>
  <c r="AO86" i="14"/>
  <c r="AG86" i="14"/>
  <c r="Y86" i="14"/>
  <c r="CD85" i="14"/>
  <c r="CD84" i="14"/>
  <c r="CD83" i="14"/>
  <c r="CD82" i="14"/>
  <c r="AD82" i="14"/>
  <c r="CD81" i="14"/>
  <c r="AD81" i="14"/>
  <c r="S81" i="14"/>
  <c r="CD80" i="14"/>
  <c r="CD79" i="14"/>
  <c r="CD78" i="14"/>
  <c r="CD77" i="14"/>
  <c r="CD76" i="14"/>
  <c r="CD75" i="14"/>
  <c r="CD74" i="14"/>
  <c r="BU74" i="14"/>
  <c r="BM74" i="14"/>
  <c r="BE74" i="14"/>
  <c r="AW74" i="14"/>
  <c r="AO74" i="14"/>
  <c r="AG74" i="14"/>
  <c r="Y74" i="14"/>
  <c r="CD73" i="14"/>
  <c r="CD72" i="14"/>
  <c r="CD71" i="14"/>
  <c r="CD70" i="14"/>
  <c r="AD70" i="14"/>
  <c r="CD69" i="14"/>
  <c r="CD68" i="14"/>
  <c r="CD67" i="14"/>
  <c r="CD66" i="14"/>
  <c r="CD65" i="14"/>
  <c r="CD64" i="14"/>
  <c r="CD63" i="14"/>
  <c r="CD62" i="14"/>
  <c r="BU62" i="14"/>
  <c r="BM62" i="14"/>
  <c r="BE62" i="14"/>
  <c r="AW62" i="14"/>
  <c r="AO62" i="14"/>
  <c r="AG62" i="14"/>
  <c r="Y62" i="14"/>
  <c r="CD61" i="14"/>
  <c r="CD60" i="14"/>
  <c r="CD59" i="14"/>
  <c r="CD58" i="14"/>
  <c r="AD58" i="14"/>
  <c r="CD57" i="14"/>
  <c r="AD57" i="14"/>
  <c r="CD56" i="14"/>
  <c r="CD55" i="14"/>
  <c r="CD54" i="14"/>
  <c r="CD53" i="14"/>
  <c r="CD52" i="14"/>
  <c r="CD51" i="14"/>
  <c r="CD50" i="14"/>
  <c r="BU50" i="14"/>
  <c r="BM50" i="14"/>
  <c r="BE50" i="14"/>
  <c r="AW50" i="14"/>
  <c r="AO50" i="14"/>
  <c r="AG50" i="14"/>
  <c r="Y50" i="14"/>
  <c r="CD49" i="14"/>
  <c r="CD48" i="14"/>
  <c r="CD47" i="14"/>
  <c r="CD46" i="14"/>
  <c r="CD45" i="14"/>
  <c r="CD44" i="14"/>
  <c r="CD43" i="14"/>
  <c r="CA43" i="14"/>
  <c r="AD43" i="14"/>
  <c r="S43" i="14"/>
  <c r="BT42" i="14"/>
  <c r="BU42" i="14" s="1"/>
  <c r="BV42" i="14" s="1"/>
  <c r="BW42" i="14" s="1"/>
  <c r="BY42" i="14" s="1"/>
  <c r="BZ42" i="14" s="1"/>
  <c r="CA42" i="14" s="1"/>
  <c r="BL42" i="14"/>
  <c r="BM42" i="14" s="1"/>
  <c r="BN42" i="14" s="1"/>
  <c r="BO42" i="14" s="1"/>
  <c r="BQ42" i="14" s="1"/>
  <c r="BR42" i="14" s="1"/>
  <c r="BD42" i="14"/>
  <c r="BE42" i="14" s="1"/>
  <c r="BF42" i="14" s="1"/>
  <c r="BG42" i="14" s="1"/>
  <c r="BI42" i="14" s="1"/>
  <c r="BJ42" i="14" s="1"/>
  <c r="AV42" i="14"/>
  <c r="AW42" i="14" s="1"/>
  <c r="AX42" i="14" s="1"/>
  <c r="AY42" i="14" s="1"/>
  <c r="BA42" i="14" s="1"/>
  <c r="BB42" i="14" s="1"/>
  <c r="AS42" i="14"/>
  <c r="AT42" i="14" s="1"/>
  <c r="AN42" i="14"/>
  <c r="AO42" i="14" s="1"/>
  <c r="AP42" i="14" s="1"/>
  <c r="AQ42" i="14" s="1"/>
  <c r="AG42" i="14"/>
  <c r="AH42" i="14" s="1"/>
  <c r="AI42" i="14" s="1"/>
  <c r="AK42" i="14" s="1"/>
  <c r="AL42" i="14" s="1"/>
  <c r="AF42" i="14"/>
  <c r="Y42" i="14"/>
  <c r="Z42" i="14" s="1"/>
  <c r="AA42" i="14" s="1"/>
  <c r="AC42" i="14" s="1"/>
  <c r="AD42" i="14" s="1"/>
  <c r="X42" i="14"/>
  <c r="U42" i="14"/>
  <c r="V42" i="14" s="1"/>
  <c r="BR35" i="14"/>
  <c r="BJ35" i="14"/>
  <c r="BB35" i="14"/>
  <c r="AT35" i="14"/>
  <c r="AL35" i="14"/>
  <c r="AD35" i="14"/>
  <c r="V35" i="14"/>
  <c r="BR34" i="14"/>
  <c r="BJ34" i="14"/>
  <c r="BB34" i="14"/>
  <c r="AT34" i="14"/>
  <c r="AL34" i="14"/>
  <c r="AD34" i="14"/>
  <c r="V34" i="14"/>
  <c r="BR32" i="14"/>
  <c r="BJ32" i="14"/>
  <c r="BB32" i="14"/>
  <c r="AT32" i="14"/>
  <c r="AL32" i="14"/>
  <c r="AD32" i="14"/>
  <c r="V32" i="14"/>
  <c r="BR31" i="14"/>
  <c r="BJ31" i="14"/>
  <c r="BB31" i="14"/>
  <c r="AT31" i="14"/>
  <c r="AL31" i="14"/>
  <c r="AD31" i="14"/>
  <c r="V31" i="14"/>
  <c r="BR30" i="14"/>
  <c r="BJ30" i="14"/>
  <c r="BB30" i="14"/>
  <c r="AT30" i="14"/>
  <c r="AL30" i="14"/>
  <c r="AD30" i="14"/>
  <c r="V30" i="14"/>
  <c r="BR29" i="14"/>
  <c r="BJ29" i="14"/>
  <c r="BB29" i="14"/>
  <c r="AT29" i="14"/>
  <c r="AL29" i="14"/>
  <c r="AD29" i="14"/>
  <c r="V29" i="14"/>
  <c r="S27" i="14"/>
  <c r="S26" i="14"/>
  <c r="AG18" i="14"/>
  <c r="CD15" i="14"/>
  <c r="CD14" i="14"/>
  <c r="CD13" i="14"/>
  <c r="CD12" i="14"/>
  <c r="CD11" i="14"/>
  <c r="CD10" i="14"/>
  <c r="CD9" i="14"/>
  <c r="BU9" i="14"/>
  <c r="BM9" i="14"/>
  <c r="BE9" i="14"/>
  <c r="AW9" i="14"/>
  <c r="AO9" i="14"/>
  <c r="AG9" i="14"/>
  <c r="Y9" i="14"/>
  <c r="CD8" i="14"/>
  <c r="CD7" i="14"/>
  <c r="J7" i="14"/>
  <c r="S7" i="14" s="1"/>
  <c r="CD6" i="14"/>
  <c r="I6" i="14"/>
  <c r="CD5" i="14"/>
  <c r="AD5" i="14"/>
  <c r="S5" i="14"/>
  <c r="CD4" i="14"/>
  <c r="AD4" i="14"/>
  <c r="S4" i="14"/>
  <c r="CD3" i="14"/>
  <c r="AD3" i="14"/>
  <c r="S3" i="14"/>
  <c r="CD2" i="14"/>
  <c r="AD2" i="14"/>
  <c r="S2" i="14"/>
  <c r="AP57" i="13"/>
  <c r="AP56" i="13"/>
  <c r="AP55" i="13"/>
  <c r="AP54" i="13"/>
  <c r="AP53" i="13"/>
  <c r="AP52" i="13"/>
  <c r="AP51" i="13"/>
  <c r="AP50" i="13"/>
  <c r="AG50" i="13"/>
  <c r="Y50" i="13"/>
  <c r="AP49" i="13"/>
  <c r="AP48" i="13"/>
  <c r="AP47" i="13"/>
  <c r="AP46" i="13"/>
  <c r="AD46" i="13"/>
  <c r="S46" i="13"/>
  <c r="I47" i="13" s="1"/>
  <c r="AP45" i="13"/>
  <c r="AP44" i="13"/>
  <c r="AP43" i="13"/>
  <c r="AM43" i="13"/>
  <c r="AD43" i="13"/>
  <c r="AF42" i="13"/>
  <c r="AG42" i="13" s="1"/>
  <c r="AH42" i="13" s="1"/>
  <c r="AI42" i="13" s="1"/>
  <c r="AK42" i="13" s="1"/>
  <c r="AL42" i="13" s="1"/>
  <c r="AM42" i="13" s="1"/>
  <c r="AD42" i="13"/>
  <c r="AC42" i="13"/>
  <c r="X42" i="13"/>
  <c r="Y42" i="13" s="1"/>
  <c r="Z42" i="13" s="1"/>
  <c r="AA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AP5" i="13"/>
  <c r="AD5" i="13"/>
  <c r="S5" i="13"/>
  <c r="I6" i="13" s="1"/>
  <c r="S6" i="13" s="1"/>
  <c r="AP4" i="13"/>
  <c r="AD4" i="13"/>
  <c r="S4" i="13"/>
  <c r="AP3" i="13"/>
  <c r="AD3" i="13"/>
  <c r="S3" i="13"/>
  <c r="AP2" i="13"/>
  <c r="AD2" i="13"/>
  <c r="S2" i="13"/>
  <c r="CD225" i="12"/>
  <c r="CD224" i="12"/>
  <c r="CD223" i="12"/>
  <c r="CD222" i="12"/>
  <c r="CD221" i="12"/>
  <c r="CD220" i="12"/>
  <c r="CD219" i="12"/>
  <c r="CD218" i="12"/>
  <c r="BU218" i="12"/>
  <c r="BM218" i="12"/>
  <c r="BE218" i="12"/>
  <c r="AW218" i="12"/>
  <c r="AO218" i="12"/>
  <c r="AG218" i="12"/>
  <c r="Y218" i="12"/>
  <c r="CD217" i="12"/>
  <c r="CD216" i="12"/>
  <c r="CD215" i="12"/>
  <c r="CD214" i="12"/>
  <c r="S214" i="12"/>
  <c r="I215" i="12" s="1"/>
  <c r="J216" i="12" s="1"/>
  <c r="CD213" i="12"/>
  <c r="CD212" i="12"/>
  <c r="CD211" i="12"/>
  <c r="CD210" i="12"/>
  <c r="CD209" i="12"/>
  <c r="CD208" i="12"/>
  <c r="CD207" i="12"/>
  <c r="CD206" i="12"/>
  <c r="BU206" i="12"/>
  <c r="BM206" i="12"/>
  <c r="BE206" i="12"/>
  <c r="AW206" i="12"/>
  <c r="AO206" i="12"/>
  <c r="AG206" i="12"/>
  <c r="Y206" i="12"/>
  <c r="CD205" i="12"/>
  <c r="CD204" i="12"/>
  <c r="S204" i="12"/>
  <c r="CD203" i="12"/>
  <c r="S203" i="12"/>
  <c r="CD202" i="12"/>
  <c r="CD201" i="12"/>
  <c r="AD201" i="12"/>
  <c r="S201" i="12"/>
  <c r="CD200" i="12"/>
  <c r="CD199" i="12"/>
  <c r="CD198" i="12"/>
  <c r="CD197" i="12"/>
  <c r="CD196" i="12"/>
  <c r="CD195" i="12"/>
  <c r="CD194" i="12"/>
  <c r="BU194" i="12"/>
  <c r="BM194" i="12"/>
  <c r="BE194" i="12"/>
  <c r="AW194" i="12"/>
  <c r="AO194" i="12"/>
  <c r="AG194" i="12"/>
  <c r="Y194" i="12"/>
  <c r="CD193" i="12"/>
  <c r="CD192" i="12"/>
  <c r="CD191" i="12"/>
  <c r="S191" i="12"/>
  <c r="CD190" i="12"/>
  <c r="AD190" i="12"/>
  <c r="CD189" i="12"/>
  <c r="S189" i="12"/>
  <c r="CD188" i="12"/>
  <c r="CD187" i="12"/>
  <c r="CD186" i="12"/>
  <c r="CD185" i="12"/>
  <c r="CD184" i="12"/>
  <c r="CD183" i="12"/>
  <c r="CD182" i="12"/>
  <c r="BU182" i="12"/>
  <c r="BM182" i="12"/>
  <c r="BE182" i="12"/>
  <c r="AW182" i="12"/>
  <c r="AO182" i="12"/>
  <c r="AG182" i="12"/>
  <c r="Y182" i="12"/>
  <c r="CD181" i="12"/>
  <c r="CD180" i="12"/>
  <c r="CD179" i="12"/>
  <c r="I179" i="12"/>
  <c r="S179" i="12" s="1"/>
  <c r="CD178" i="12"/>
  <c r="CD177" i="12"/>
  <c r="CD176" i="12"/>
  <c r="S176" i="12"/>
  <c r="CD175" i="12"/>
  <c r="CD174" i="12"/>
  <c r="CD173" i="12"/>
  <c r="CD172" i="12"/>
  <c r="CD171" i="12"/>
  <c r="CD170" i="12"/>
  <c r="BU170" i="12"/>
  <c r="BM170" i="12"/>
  <c r="BE170" i="12"/>
  <c r="AW170" i="12"/>
  <c r="AO170" i="12"/>
  <c r="AG170" i="12"/>
  <c r="Y170" i="12"/>
  <c r="CD169" i="12"/>
  <c r="CD168" i="12"/>
  <c r="CD167" i="12"/>
  <c r="CD166" i="12"/>
  <c r="S166" i="12"/>
  <c r="I167" i="12" s="1"/>
  <c r="CD165" i="12"/>
  <c r="AD165" i="12"/>
  <c r="S165" i="12"/>
  <c r="CD164" i="12"/>
  <c r="S164" i="12"/>
  <c r="CD163" i="12"/>
  <c r="CD162" i="12"/>
  <c r="CD161" i="12"/>
  <c r="CD160" i="12"/>
  <c r="CD159" i="12"/>
  <c r="CD158" i="12"/>
  <c r="BU158" i="12"/>
  <c r="BM158" i="12"/>
  <c r="BE158" i="12"/>
  <c r="AW158" i="12"/>
  <c r="AO158" i="12"/>
  <c r="AG158" i="12"/>
  <c r="Y158" i="12"/>
  <c r="CD157" i="12"/>
  <c r="CD156" i="12"/>
  <c r="CD155" i="12"/>
  <c r="CD154" i="12"/>
  <c r="CD153" i="12"/>
  <c r="S153" i="12"/>
  <c r="CD152" i="12"/>
  <c r="S152" i="12"/>
  <c r="CD151" i="12"/>
  <c r="CD150" i="12"/>
  <c r="CD149" i="12"/>
  <c r="CD148" i="12"/>
  <c r="CD147" i="12"/>
  <c r="CD146" i="12"/>
  <c r="BU146" i="12"/>
  <c r="BM146" i="12"/>
  <c r="BE146" i="12"/>
  <c r="AW146" i="12"/>
  <c r="AO146" i="12"/>
  <c r="AG146" i="12"/>
  <c r="Y146" i="12"/>
  <c r="CD145" i="12"/>
  <c r="CD144" i="12"/>
  <c r="CD143" i="12"/>
  <c r="CD142" i="12"/>
  <c r="AD142" i="12"/>
  <c r="S142" i="12"/>
  <c r="I143" i="12" s="1"/>
  <c r="S143" i="12" s="1"/>
  <c r="CD141" i="12"/>
  <c r="AD141" i="12"/>
  <c r="S141" i="12"/>
  <c r="CD140" i="12"/>
  <c r="S140" i="12"/>
  <c r="CD139" i="12"/>
  <c r="CD138" i="12"/>
  <c r="CD137" i="12"/>
  <c r="CD136" i="12"/>
  <c r="CD135" i="12"/>
  <c r="CD134" i="12"/>
  <c r="BU134" i="12"/>
  <c r="BM134" i="12"/>
  <c r="BE134" i="12"/>
  <c r="AW134" i="12"/>
  <c r="AO134" i="12"/>
  <c r="AG134" i="12"/>
  <c r="Y134" i="12"/>
  <c r="CD133" i="12"/>
  <c r="CD132" i="12"/>
  <c r="CD131" i="12"/>
  <c r="CD130" i="12"/>
  <c r="AD130" i="12"/>
  <c r="S130" i="12"/>
  <c r="I131" i="12" s="1"/>
  <c r="S131" i="12" s="1"/>
  <c r="CD129" i="12"/>
  <c r="CD128" i="12"/>
  <c r="CD127" i="12"/>
  <c r="CD126" i="12"/>
  <c r="CD125" i="12"/>
  <c r="CD124" i="12"/>
  <c r="CD123" i="12"/>
  <c r="CD122" i="12"/>
  <c r="BU122" i="12"/>
  <c r="BM122" i="12"/>
  <c r="BE122" i="12"/>
  <c r="AW122" i="12"/>
  <c r="AO122" i="12"/>
  <c r="AG122" i="12"/>
  <c r="Y122" i="12"/>
  <c r="CD121" i="12"/>
  <c r="CD120" i="12"/>
  <c r="J120" i="12"/>
  <c r="K121" i="12" s="1"/>
  <c r="S121" i="12" s="1"/>
  <c r="CD119" i="12"/>
  <c r="CD118" i="12"/>
  <c r="AD118" i="12"/>
  <c r="CD117" i="12"/>
  <c r="CD116" i="12"/>
  <c r="CD115" i="12"/>
  <c r="CD114" i="12"/>
  <c r="CD113" i="12"/>
  <c r="CD112" i="12"/>
  <c r="CD111" i="12"/>
  <c r="CD110" i="12"/>
  <c r="BU110" i="12"/>
  <c r="BM110" i="12"/>
  <c r="BE110" i="12"/>
  <c r="AW110" i="12"/>
  <c r="AO110" i="12"/>
  <c r="AG110" i="12"/>
  <c r="Y110" i="12"/>
  <c r="CD109" i="12"/>
  <c r="CD108" i="12"/>
  <c r="CD107" i="12"/>
  <c r="CD106" i="12"/>
  <c r="S106" i="12"/>
  <c r="I107" i="12" s="1"/>
  <c r="CD105" i="12"/>
  <c r="AD105" i="12"/>
  <c r="S105" i="12"/>
  <c r="CD104" i="12"/>
  <c r="CD103" i="12"/>
  <c r="CD102" i="12"/>
  <c r="CD101" i="12"/>
  <c r="CD100" i="12"/>
  <c r="CD99" i="12"/>
  <c r="CD98" i="12"/>
  <c r="BU98" i="12"/>
  <c r="BM98" i="12"/>
  <c r="BE98" i="12"/>
  <c r="AW98" i="12"/>
  <c r="AO98" i="12"/>
  <c r="AG98" i="12"/>
  <c r="Y98" i="12"/>
  <c r="CD97" i="12"/>
  <c r="CD96" i="12"/>
  <c r="CD95" i="12"/>
  <c r="CD94" i="12"/>
  <c r="CD93" i="12"/>
  <c r="CD92" i="12"/>
  <c r="S92" i="12"/>
  <c r="CD91" i="12"/>
  <c r="CD90" i="12"/>
  <c r="CD89" i="12"/>
  <c r="CD88" i="12"/>
  <c r="CD87" i="12"/>
  <c r="CD86" i="12"/>
  <c r="BU86" i="12"/>
  <c r="BM86" i="12"/>
  <c r="BE86" i="12"/>
  <c r="AW86" i="12"/>
  <c r="AO86" i="12"/>
  <c r="AG86" i="12"/>
  <c r="Y86" i="12"/>
  <c r="CD85" i="12"/>
  <c r="CD84" i="12"/>
  <c r="CD83" i="12"/>
  <c r="I83" i="12"/>
  <c r="J84" i="12" s="1"/>
  <c r="CD82" i="12"/>
  <c r="CD81" i="12"/>
  <c r="CD80" i="12"/>
  <c r="CD79" i="12"/>
  <c r="CD78" i="12"/>
  <c r="CD77" i="12"/>
  <c r="CD76" i="12"/>
  <c r="CD75" i="12"/>
  <c r="CD74" i="12"/>
  <c r="BU74" i="12"/>
  <c r="BM74" i="12"/>
  <c r="BE74" i="12"/>
  <c r="AW74" i="12"/>
  <c r="AO74" i="12"/>
  <c r="AG74" i="12"/>
  <c r="Y74" i="12"/>
  <c r="CD73" i="12"/>
  <c r="CD72" i="12"/>
  <c r="J72" i="12"/>
  <c r="K73" i="12" s="1"/>
  <c r="S73" i="12" s="1"/>
  <c r="CD71" i="12"/>
  <c r="CD70" i="12"/>
  <c r="S70" i="12"/>
  <c r="I71" i="12" s="1"/>
  <c r="S71" i="12" s="1"/>
  <c r="CD69" i="12"/>
  <c r="CD68" i="12"/>
  <c r="CD67" i="12"/>
  <c r="CD66" i="12"/>
  <c r="CD65" i="12"/>
  <c r="CD64" i="12"/>
  <c r="CD63" i="12"/>
  <c r="CD62" i="12"/>
  <c r="BU62" i="12"/>
  <c r="BM62" i="12"/>
  <c r="BE62" i="12"/>
  <c r="AW62" i="12"/>
  <c r="AO62" i="12"/>
  <c r="AG62" i="12"/>
  <c r="Y62" i="12"/>
  <c r="CD61" i="12"/>
  <c r="CD60" i="12"/>
  <c r="CD59" i="12"/>
  <c r="I59" i="12"/>
  <c r="CD58" i="12"/>
  <c r="CD57" i="12"/>
  <c r="S57" i="12"/>
  <c r="CD56" i="12"/>
  <c r="S56" i="12"/>
  <c r="CD55" i="12"/>
  <c r="CD54" i="12"/>
  <c r="CD53" i="12"/>
  <c r="CD52" i="12"/>
  <c r="CD51" i="12"/>
  <c r="CD50" i="12"/>
  <c r="BU50" i="12"/>
  <c r="BM50" i="12"/>
  <c r="BE50" i="12"/>
  <c r="AW50" i="12"/>
  <c r="AO50" i="12"/>
  <c r="AG50" i="12"/>
  <c r="Y50" i="12"/>
  <c r="CD49" i="12"/>
  <c r="CD48" i="12"/>
  <c r="CD47" i="12"/>
  <c r="I47" i="12"/>
  <c r="J48" i="12" s="1"/>
  <c r="CD46" i="12"/>
  <c r="AD46" i="12"/>
  <c r="CD45" i="12"/>
  <c r="S45" i="12"/>
  <c r="CD44" i="12"/>
  <c r="S44" i="12"/>
  <c r="CD43" i="12"/>
  <c r="CA43" i="12"/>
  <c r="S43" i="12"/>
  <c r="BT42" i="12"/>
  <c r="BU42" i="12" s="1"/>
  <c r="BV42" i="12" s="1"/>
  <c r="BW42" i="12" s="1"/>
  <c r="BY42" i="12" s="1"/>
  <c r="BZ42" i="12" s="1"/>
  <c r="CA42" i="12" s="1"/>
  <c r="BL42" i="12"/>
  <c r="BM42" i="12" s="1"/>
  <c r="BN42" i="12" s="1"/>
  <c r="BO42" i="12" s="1"/>
  <c r="BQ42" i="12" s="1"/>
  <c r="BR42" i="12" s="1"/>
  <c r="BD42" i="12"/>
  <c r="BE42" i="12" s="1"/>
  <c r="BF42" i="12" s="1"/>
  <c r="BG42" i="12" s="1"/>
  <c r="BI42" i="12" s="1"/>
  <c r="BJ42" i="12" s="1"/>
  <c r="AV42" i="12"/>
  <c r="AW42" i="12" s="1"/>
  <c r="AX42" i="12" s="1"/>
  <c r="AY42" i="12" s="1"/>
  <c r="BA42" i="12" s="1"/>
  <c r="BB42" i="12" s="1"/>
  <c r="AQ42" i="12"/>
  <c r="AS42" i="12" s="1"/>
  <c r="AT42" i="12" s="1"/>
  <c r="AP42" i="12"/>
  <c r="AN42" i="12"/>
  <c r="AO42" i="12" s="1"/>
  <c r="AF42" i="12"/>
  <c r="AG42" i="12" s="1"/>
  <c r="AH42" i="12" s="1"/>
  <c r="AI42" i="12" s="1"/>
  <c r="AK42" i="12" s="1"/>
  <c r="AL42" i="12" s="1"/>
  <c r="AA42" i="12"/>
  <c r="AC42" i="12" s="1"/>
  <c r="AD42" i="12" s="1"/>
  <c r="Z42" i="12"/>
  <c r="X42" i="12"/>
  <c r="Y42" i="12" s="1"/>
  <c r="U42" i="12"/>
  <c r="V42" i="12" s="1"/>
  <c r="BR35" i="12"/>
  <c r="BJ35" i="12"/>
  <c r="BB35" i="12"/>
  <c r="AT35" i="12"/>
  <c r="AL35" i="12"/>
  <c r="AD35" i="12"/>
  <c r="V35" i="12"/>
  <c r="BR34" i="12"/>
  <c r="BJ34" i="12"/>
  <c r="BB34" i="12"/>
  <c r="AT34" i="12"/>
  <c r="AL34" i="12"/>
  <c r="AD34" i="12"/>
  <c r="V34" i="12"/>
  <c r="BR32" i="12"/>
  <c r="BJ32" i="12"/>
  <c r="BB32" i="12"/>
  <c r="AT32" i="12"/>
  <c r="AL32" i="12"/>
  <c r="AD32" i="12"/>
  <c r="V32" i="12"/>
  <c r="BR31" i="12"/>
  <c r="BJ31" i="12"/>
  <c r="BB31" i="12"/>
  <c r="AT31" i="12"/>
  <c r="AL31" i="12"/>
  <c r="AD31" i="12"/>
  <c r="V31" i="12"/>
  <c r="BR30" i="12"/>
  <c r="BJ30" i="12"/>
  <c r="BB30" i="12"/>
  <c r="AT30" i="12"/>
  <c r="AL30" i="12"/>
  <c r="AD30" i="12"/>
  <c r="V30" i="12"/>
  <c r="BR29" i="12"/>
  <c r="BJ29" i="12"/>
  <c r="BB29" i="12"/>
  <c r="AT29" i="12"/>
  <c r="AL29" i="12"/>
  <c r="AD29" i="12"/>
  <c r="V29" i="12"/>
  <c r="S27" i="12"/>
  <c r="S26" i="12"/>
  <c r="AG18" i="12"/>
  <c r="CD15" i="12"/>
  <c r="CD14" i="12"/>
  <c r="CD13" i="12"/>
  <c r="CD12" i="12"/>
  <c r="CD11" i="12"/>
  <c r="CD10" i="12"/>
  <c r="CD9" i="12"/>
  <c r="BU9" i="12"/>
  <c r="BM9" i="12"/>
  <c r="BE9" i="12"/>
  <c r="AW9" i="12"/>
  <c r="AO9" i="12"/>
  <c r="AG9" i="12"/>
  <c r="Y9" i="12"/>
  <c r="CD8" i="12"/>
  <c r="CD7" i="12"/>
  <c r="J7" i="12"/>
  <c r="K8" i="12" s="1"/>
  <c r="S8" i="12" s="1"/>
  <c r="CD6" i="12"/>
  <c r="S6" i="12"/>
  <c r="CD5" i="12"/>
  <c r="AD5" i="12"/>
  <c r="S5" i="12"/>
  <c r="I6" i="12" s="1"/>
  <c r="CD4" i="12"/>
  <c r="AD4" i="12"/>
  <c r="S4" i="12"/>
  <c r="CD3" i="12"/>
  <c r="AD3" i="12"/>
  <c r="S3" i="12"/>
  <c r="CD2" i="12"/>
  <c r="AD2" i="12"/>
  <c r="S2" i="12"/>
  <c r="AP57" i="11"/>
  <c r="AP56" i="11"/>
  <c r="AP55" i="11"/>
  <c r="AP54" i="11"/>
  <c r="AP53" i="11"/>
  <c r="AP52" i="11"/>
  <c r="AP51" i="11"/>
  <c r="AP50" i="11"/>
  <c r="AG50" i="11"/>
  <c r="Y50" i="11"/>
  <c r="AP49" i="11"/>
  <c r="AP48" i="11"/>
  <c r="AP47" i="11"/>
  <c r="AP46" i="11"/>
  <c r="AD46" i="11"/>
  <c r="S46" i="11"/>
  <c r="I47" i="11" s="1"/>
  <c r="AP45" i="11"/>
  <c r="S45" i="11"/>
  <c r="AP44" i="11"/>
  <c r="AD44" i="11"/>
  <c r="AP43" i="11"/>
  <c r="AM43" i="11"/>
  <c r="S43" i="11"/>
  <c r="AF42" i="11"/>
  <c r="AG42" i="11" s="1"/>
  <c r="AH42" i="11" s="1"/>
  <c r="AI42" i="11" s="1"/>
  <c r="AK42" i="11" s="1"/>
  <c r="AL42" i="11" s="1"/>
  <c r="AM42" i="11" s="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D33" i="7"/>
  <c r="E32" i="7"/>
  <c r="D32" i="7"/>
  <c r="A32" i="7"/>
  <c r="G28" i="7"/>
  <c r="G27" i="7"/>
  <c r="G26" i="7"/>
  <c r="E18" i="7"/>
  <c r="G17" i="7"/>
  <c r="E17" i="7"/>
  <c r="G16" i="7"/>
  <c r="E16" i="7"/>
  <c r="F15" i="7"/>
  <c r="F14" i="7"/>
  <c r="G13" i="7"/>
  <c r="E13" i="7"/>
  <c r="E12" i="7"/>
  <c r="F11" i="7"/>
  <c r="D5" i="7"/>
  <c r="D4" i="7"/>
  <c r="D5" i="6"/>
  <c r="AQ176" i="5"/>
  <c r="AP176" i="5"/>
  <c r="S48" i="26" s="1"/>
  <c r="K52" i="26" s="1"/>
  <c r="S52" i="26" s="1"/>
  <c r="AO176" i="5"/>
  <c r="S47" i="26" s="1"/>
  <c r="AN176" i="5"/>
  <c r="S46" i="26" s="1"/>
  <c r="AM176" i="5"/>
  <c r="AL176" i="5"/>
  <c r="AK176" i="5"/>
  <c r="AJ176" i="5"/>
  <c r="AI176" i="5"/>
  <c r="AH176" i="5"/>
  <c r="AQ171" i="5"/>
  <c r="AP171" i="5"/>
  <c r="S43" i="25" s="1"/>
  <c r="I44" i="25" s="1"/>
  <c r="AO171" i="5"/>
  <c r="S42" i="25" s="1"/>
  <c r="AN171" i="5"/>
  <c r="S41" i="25" s="1"/>
  <c r="AM171" i="5"/>
  <c r="AL171" i="5"/>
  <c r="AC43" i="25" s="1"/>
  <c r="AK171" i="5"/>
  <c r="AC42" i="25" s="1"/>
  <c r="AJ171" i="5"/>
  <c r="AI171" i="5"/>
  <c r="AH171" i="5"/>
  <c r="F309" i="43" s="1"/>
  <c r="AQ166" i="5"/>
  <c r="AP166" i="5"/>
  <c r="S43" i="24" s="1"/>
  <c r="AO166" i="5"/>
  <c r="S42" i="24" s="1"/>
  <c r="AN166" i="5"/>
  <c r="S41" i="24" s="1"/>
  <c r="AM166" i="5"/>
  <c r="AL166" i="5"/>
  <c r="AC43" i="24" s="1"/>
  <c r="AK166" i="5"/>
  <c r="AC42" i="24" s="1"/>
  <c r="AJ166" i="5"/>
  <c r="G248" i="43" s="1"/>
  <c r="AI166" i="5"/>
  <c r="AH166" i="5"/>
  <c r="AQ160" i="5"/>
  <c r="AP160" i="5"/>
  <c r="AO160" i="5"/>
  <c r="S47" i="29" s="1"/>
  <c r="AN160" i="5"/>
  <c r="S46" i="29" s="1"/>
  <c r="AM160" i="5"/>
  <c r="AL160" i="5"/>
  <c r="AD48" i="29" s="1"/>
  <c r="AK160" i="5"/>
  <c r="AD47" i="29" s="1"/>
  <c r="AJ160" i="5"/>
  <c r="AI160" i="5"/>
  <c r="AH160" i="5"/>
  <c r="F69" i="43" s="1"/>
  <c r="AQ155" i="5"/>
  <c r="AP155" i="5"/>
  <c r="AO155" i="5"/>
  <c r="AN155" i="5"/>
  <c r="AM155" i="5"/>
  <c r="AL155" i="5"/>
  <c r="AK155" i="5"/>
  <c r="AJ155" i="5"/>
  <c r="AI155" i="5"/>
  <c r="AH155" i="5"/>
  <c r="AQ150" i="5"/>
  <c r="AP150" i="5"/>
  <c r="S43" i="28" s="1"/>
  <c r="I44" i="28" s="1"/>
  <c r="AO150" i="5"/>
  <c r="S42" i="28" s="1"/>
  <c r="AN150" i="5"/>
  <c r="AM150" i="5"/>
  <c r="AL150" i="5"/>
  <c r="AK150" i="5"/>
  <c r="AC42" i="27" s="1"/>
  <c r="AJ150" i="5"/>
  <c r="AI150" i="5"/>
  <c r="AH150" i="5"/>
  <c r="AQ144" i="5"/>
  <c r="AP144" i="5"/>
  <c r="S48" i="23" s="1"/>
  <c r="K52" i="23" s="1"/>
  <c r="S52" i="23" s="1"/>
  <c r="AO144" i="5"/>
  <c r="S47" i="23" s="1"/>
  <c r="AN144" i="5"/>
  <c r="S46" i="23" s="1"/>
  <c r="AM144" i="5"/>
  <c r="AL144" i="5"/>
  <c r="AD48" i="23" s="1"/>
  <c r="AK144" i="5"/>
  <c r="AD47" i="23" s="1"/>
  <c r="AJ144" i="5"/>
  <c r="AI144" i="5"/>
  <c r="AH144" i="5"/>
  <c r="F178" i="43" s="1"/>
  <c r="AQ139" i="5"/>
  <c r="AP139" i="5"/>
  <c r="S43" i="22" s="1"/>
  <c r="I44" i="22" s="1"/>
  <c r="AO139" i="5"/>
  <c r="S42" i="22" s="1"/>
  <c r="AN139" i="5"/>
  <c r="S41" i="22" s="1"/>
  <c r="AM139" i="5"/>
  <c r="AL139" i="5"/>
  <c r="AC43" i="22" s="1"/>
  <c r="AK139" i="5"/>
  <c r="AC42" i="22" s="1"/>
  <c r="AJ139" i="5"/>
  <c r="AI139" i="5"/>
  <c r="AH139" i="5"/>
  <c r="AQ134" i="5"/>
  <c r="AP134" i="5"/>
  <c r="S43" i="21" s="1"/>
  <c r="I44" i="21" s="1"/>
  <c r="S44" i="21" s="1"/>
  <c r="AO134" i="5"/>
  <c r="S42" i="21" s="1"/>
  <c r="AN134" i="5"/>
  <c r="S41" i="21" s="1"/>
  <c r="AM134" i="5"/>
  <c r="AL134" i="5"/>
  <c r="AC43" i="21" s="1"/>
  <c r="AK134" i="5"/>
  <c r="AC42" i="21" s="1"/>
  <c r="AJ134" i="5"/>
  <c r="AI134" i="5"/>
  <c r="AH134" i="5"/>
  <c r="AQ129" i="5"/>
  <c r="AP129" i="5"/>
  <c r="AO129" i="5"/>
  <c r="AN129" i="5"/>
  <c r="S41" i="20" s="1"/>
  <c r="AM129" i="5"/>
  <c r="AL129" i="5"/>
  <c r="AC43" i="20" s="1"/>
  <c r="AK129" i="5"/>
  <c r="AC42" i="20" s="1"/>
  <c r="AJ129" i="5"/>
  <c r="AI129" i="5"/>
  <c r="AH129" i="5"/>
  <c r="AQ124" i="5"/>
  <c r="AP124" i="5"/>
  <c r="S43" i="19" s="1"/>
  <c r="I44" i="19" s="1"/>
  <c r="AO124" i="5"/>
  <c r="AN124" i="5"/>
  <c r="S41" i="19" s="1"/>
  <c r="AM124" i="5"/>
  <c r="AL124" i="5"/>
  <c r="AK124" i="5"/>
  <c r="AJ124" i="5"/>
  <c r="AI124" i="5"/>
  <c r="AH124" i="5"/>
  <c r="AQ108" i="5"/>
  <c r="S48" i="18" s="1"/>
  <c r="AP108" i="5"/>
  <c r="S47" i="18" s="1"/>
  <c r="AO108" i="5"/>
  <c r="S46" i="18" s="1"/>
  <c r="AN108" i="5"/>
  <c r="S45" i="18" s="1"/>
  <c r="AM108" i="5"/>
  <c r="AL108" i="5"/>
  <c r="AK108" i="5"/>
  <c r="AJ108" i="5"/>
  <c r="AH108" i="5"/>
  <c r="G108" i="5"/>
  <c r="AI108" i="5" s="1"/>
  <c r="AQ103" i="5"/>
  <c r="AP103" i="5"/>
  <c r="S45" i="13" s="1"/>
  <c r="AO103" i="5"/>
  <c r="S44" i="13" s="1"/>
  <c r="AN103" i="5"/>
  <c r="S43" i="13" s="1"/>
  <c r="AM103" i="5"/>
  <c r="AL103" i="5"/>
  <c r="AD45" i="13" s="1"/>
  <c r="AK103" i="5"/>
  <c r="AD44" i="13" s="1"/>
  <c r="AJ103" i="5"/>
  <c r="AI103" i="5"/>
  <c r="AH103" i="5"/>
  <c r="AQ98" i="5"/>
  <c r="AP98" i="5"/>
  <c r="S45" i="16" s="1"/>
  <c r="AO98" i="5"/>
  <c r="S44" i="16" s="1"/>
  <c r="AN98" i="5"/>
  <c r="S43" i="16" s="1"/>
  <c r="AM98" i="5"/>
  <c r="AD46" i="16" s="1"/>
  <c r="AL98" i="5"/>
  <c r="AD45" i="16" s="1"/>
  <c r="AK98" i="5"/>
  <c r="AJ98" i="5"/>
  <c r="AI98" i="5"/>
  <c r="AH98" i="5"/>
  <c r="F157" i="43" s="1"/>
  <c r="AQ93" i="5"/>
  <c r="AP93" i="5"/>
  <c r="S45" i="15" s="1"/>
  <c r="AO93" i="5"/>
  <c r="S44" i="15" s="1"/>
  <c r="AN93" i="5"/>
  <c r="S43" i="15" s="1"/>
  <c r="AM93" i="5"/>
  <c r="AD46" i="15" s="1"/>
  <c r="AL93" i="5"/>
  <c r="AK93" i="5"/>
  <c r="AD44" i="15" s="1"/>
  <c r="AJ93" i="5"/>
  <c r="G212" i="43" s="1"/>
  <c r="AI93" i="5"/>
  <c r="AH93" i="5"/>
  <c r="AQ88" i="5"/>
  <c r="U94" i="17" s="1"/>
  <c r="I95" i="17" s="1"/>
  <c r="J96" i="17" s="1"/>
  <c r="K97" i="17" s="1"/>
  <c r="U97" i="17" s="1"/>
  <c r="AP88" i="5"/>
  <c r="U93" i="17" s="1"/>
  <c r="AO88" i="5"/>
  <c r="AN88" i="5"/>
  <c r="AM88" i="5"/>
  <c r="AG94" i="17" s="1"/>
  <c r="AL88" i="5"/>
  <c r="AG93" i="17" s="1"/>
  <c r="AJ88" i="5"/>
  <c r="AH88" i="5"/>
  <c r="AQ85" i="5"/>
  <c r="AP85" i="5"/>
  <c r="U79" i="17" s="1"/>
  <c r="AO85" i="5"/>
  <c r="U78" i="17" s="1"/>
  <c r="AN85" i="5"/>
  <c r="AM85" i="5"/>
  <c r="AG80" i="17" s="1"/>
  <c r="AL85" i="5"/>
  <c r="AG79" i="17" s="1"/>
  <c r="AJ85" i="5"/>
  <c r="AH85" i="5"/>
  <c r="AQ82" i="5"/>
  <c r="U66" i="17" s="1"/>
  <c r="I67" i="17" s="1"/>
  <c r="J68" i="17" s="1"/>
  <c r="AP82" i="5"/>
  <c r="AO82" i="5"/>
  <c r="U64" i="17" s="1"/>
  <c r="AN82" i="5"/>
  <c r="AM82" i="5"/>
  <c r="AG66" i="17" s="1"/>
  <c r="AL82" i="5"/>
  <c r="AG65" i="17" s="1"/>
  <c r="AJ82" i="5"/>
  <c r="AH82" i="5"/>
  <c r="AQ79" i="5"/>
  <c r="U52" i="17" s="1"/>
  <c r="I53" i="17" s="1"/>
  <c r="J54" i="17" s="1"/>
  <c r="U54" i="17" s="1"/>
  <c r="AP79" i="5"/>
  <c r="U51" i="17" s="1"/>
  <c r="AO79" i="5"/>
  <c r="AN79" i="5"/>
  <c r="U49" i="17" s="1"/>
  <c r="AM79" i="5"/>
  <c r="AL79" i="5"/>
  <c r="AJ79" i="5"/>
  <c r="AH79" i="5"/>
  <c r="G79" i="5"/>
  <c r="AI79" i="5" s="1"/>
  <c r="AQ74" i="5"/>
  <c r="S82" i="14" s="1"/>
  <c r="I83" i="14" s="1"/>
  <c r="J84" i="14" s="1"/>
  <c r="AP74" i="5"/>
  <c r="AO74" i="5"/>
  <c r="S80" i="14" s="1"/>
  <c r="AN74" i="5"/>
  <c r="AM74" i="5"/>
  <c r="AL74" i="5"/>
  <c r="AJ74" i="5"/>
  <c r="AI74" i="5"/>
  <c r="AH74" i="5"/>
  <c r="AQ71" i="5"/>
  <c r="S70" i="14" s="1"/>
  <c r="I71" i="14" s="1"/>
  <c r="J72" i="14" s="1"/>
  <c r="AP71" i="5"/>
  <c r="S69" i="14" s="1"/>
  <c r="AO71" i="5"/>
  <c r="S68" i="14" s="1"/>
  <c r="AN71" i="5"/>
  <c r="AM71" i="5"/>
  <c r="AL71" i="5"/>
  <c r="AD69" i="14" s="1"/>
  <c r="AJ71" i="5"/>
  <c r="AI71" i="5"/>
  <c r="AH71" i="5"/>
  <c r="AQ68" i="5"/>
  <c r="S58" i="14" s="1"/>
  <c r="I59" i="14" s="1"/>
  <c r="J60" i="14" s="1"/>
  <c r="AP68" i="5"/>
  <c r="S57" i="14" s="1"/>
  <c r="AO68" i="5"/>
  <c r="S56" i="14" s="1"/>
  <c r="AN68" i="5"/>
  <c r="AM68" i="5"/>
  <c r="AL68" i="5"/>
  <c r="AJ68" i="5"/>
  <c r="AH68" i="5"/>
  <c r="AQ65" i="5"/>
  <c r="AP65" i="5"/>
  <c r="S45" i="14" s="1"/>
  <c r="AO65" i="5"/>
  <c r="L20" i="58" s="1"/>
  <c r="AN65" i="5"/>
  <c r="L19" i="58" s="1"/>
  <c r="AM65" i="5"/>
  <c r="AL65" i="5"/>
  <c r="AD45" i="14" s="1"/>
  <c r="AJ65" i="5"/>
  <c r="AH65" i="5"/>
  <c r="G65" i="5"/>
  <c r="AI65" i="5" s="1"/>
  <c r="AQ60" i="5"/>
  <c r="AP60" i="5"/>
  <c r="S213" i="12" s="1"/>
  <c r="AO60" i="5"/>
  <c r="S212" i="12" s="1"/>
  <c r="AN60" i="5"/>
  <c r="AM60" i="5"/>
  <c r="AD214" i="12" s="1"/>
  <c r="AL60" i="5"/>
  <c r="AD213" i="12" s="1"/>
  <c r="AJ60" i="5"/>
  <c r="AH60" i="5"/>
  <c r="AQ57" i="5"/>
  <c r="S202" i="12" s="1"/>
  <c r="I203" i="12" s="1"/>
  <c r="J204" i="12" s="1"/>
  <c r="K205" i="12" s="1"/>
  <c r="S205" i="12" s="1"/>
  <c r="AP57" i="5"/>
  <c r="AO57" i="5"/>
  <c r="S200" i="12" s="1"/>
  <c r="AN57" i="5"/>
  <c r="AM57" i="5"/>
  <c r="AD202" i="12" s="1"/>
  <c r="AL57" i="5"/>
  <c r="AJ57" i="5"/>
  <c r="AH57" i="5"/>
  <c r="AQ54" i="5"/>
  <c r="S190" i="12" s="1"/>
  <c r="I191" i="12" s="1"/>
  <c r="J192" i="12" s="1"/>
  <c r="AP54" i="5"/>
  <c r="AO54" i="5"/>
  <c r="S188" i="12" s="1"/>
  <c r="AN54" i="5"/>
  <c r="AM54" i="5"/>
  <c r="AL54" i="5"/>
  <c r="AD189" i="12" s="1"/>
  <c r="AJ54" i="5"/>
  <c r="AH54" i="5"/>
  <c r="AQ51" i="5"/>
  <c r="S178" i="12" s="1"/>
  <c r="AP51" i="5"/>
  <c r="S177" i="12" s="1"/>
  <c r="AO51" i="5"/>
  <c r="AN51" i="5"/>
  <c r="AM51" i="5"/>
  <c r="AD178" i="12" s="1"/>
  <c r="AL51" i="5"/>
  <c r="AD177" i="12" s="1"/>
  <c r="AJ51" i="5"/>
  <c r="AH51" i="5"/>
  <c r="AQ48" i="5"/>
  <c r="AP48" i="5"/>
  <c r="AO48" i="5"/>
  <c r="AN48" i="5"/>
  <c r="AM48" i="5"/>
  <c r="AD166" i="12" s="1"/>
  <c r="AL48" i="5"/>
  <c r="AJ48" i="5"/>
  <c r="AH48" i="5"/>
  <c r="AQ45" i="5"/>
  <c r="S154" i="12" s="1"/>
  <c r="I155" i="12" s="1"/>
  <c r="AP45" i="5"/>
  <c r="AO45" i="5"/>
  <c r="AN45" i="5"/>
  <c r="AM45" i="5"/>
  <c r="AD154" i="12" s="1"/>
  <c r="AL45" i="5"/>
  <c r="AD153" i="12" s="1"/>
  <c r="AJ45" i="5"/>
  <c r="AH45" i="5"/>
  <c r="AQ42" i="5"/>
  <c r="AP42" i="5"/>
  <c r="AO42" i="5"/>
  <c r="AN42" i="5"/>
  <c r="AM42" i="5"/>
  <c r="AL42" i="5"/>
  <c r="AJ42" i="5"/>
  <c r="AH42" i="5"/>
  <c r="AQ39" i="5"/>
  <c r="AP39" i="5"/>
  <c r="S129" i="12" s="1"/>
  <c r="AO39" i="5"/>
  <c r="S128" i="12" s="1"/>
  <c r="AN39" i="5"/>
  <c r="AM39" i="5"/>
  <c r="AL39" i="5"/>
  <c r="AD129" i="12" s="1"/>
  <c r="AJ39" i="5"/>
  <c r="AH39" i="5"/>
  <c r="AQ36" i="5"/>
  <c r="S118" i="12" s="1"/>
  <c r="I119" i="12" s="1"/>
  <c r="S119" i="12" s="1"/>
  <c r="AP36" i="5"/>
  <c r="S117" i="12" s="1"/>
  <c r="AO36" i="5"/>
  <c r="S116" i="12" s="1"/>
  <c r="AN36" i="5"/>
  <c r="AM36" i="5"/>
  <c r="AL36" i="5"/>
  <c r="AD117" i="12" s="1"/>
  <c r="AJ36" i="5"/>
  <c r="AH36" i="5"/>
  <c r="AQ33" i="5"/>
  <c r="AP33" i="5"/>
  <c r="AO33" i="5"/>
  <c r="S104" i="12" s="1"/>
  <c r="AN33" i="5"/>
  <c r="AM33" i="5"/>
  <c r="AD106" i="12" s="1"/>
  <c r="AL33" i="5"/>
  <c r="AJ33" i="5"/>
  <c r="AH33" i="5"/>
  <c r="AQ30" i="5"/>
  <c r="S94" i="12" s="1"/>
  <c r="I95" i="12" s="1"/>
  <c r="AP30" i="5"/>
  <c r="S93" i="12" s="1"/>
  <c r="AO30" i="5"/>
  <c r="AN30" i="5"/>
  <c r="AM30" i="5"/>
  <c r="AD94" i="12" s="1"/>
  <c r="AL30" i="5"/>
  <c r="AD93" i="12" s="1"/>
  <c r="AJ30" i="5"/>
  <c r="AH30" i="5"/>
  <c r="AQ27" i="5"/>
  <c r="S82" i="12" s="1"/>
  <c r="AP27" i="5"/>
  <c r="S81" i="12" s="1"/>
  <c r="AO27" i="5"/>
  <c r="S80" i="12" s="1"/>
  <c r="AN27" i="5"/>
  <c r="AM27" i="5"/>
  <c r="AD82" i="12" s="1"/>
  <c r="AL27" i="5"/>
  <c r="AD81" i="12" s="1"/>
  <c r="AJ27" i="5"/>
  <c r="AH27" i="5"/>
  <c r="AQ24" i="5"/>
  <c r="AP24" i="5"/>
  <c r="S69" i="12" s="1"/>
  <c r="AO24" i="5"/>
  <c r="S68" i="12" s="1"/>
  <c r="AN24" i="5"/>
  <c r="AM24" i="5"/>
  <c r="AD70" i="12" s="1"/>
  <c r="AL24" i="5"/>
  <c r="AD69" i="12" s="1"/>
  <c r="AJ24" i="5"/>
  <c r="AH24" i="5"/>
  <c r="AQ21" i="5"/>
  <c r="S58" i="12" s="1"/>
  <c r="AP21" i="5"/>
  <c r="AO21" i="5"/>
  <c r="AN21" i="5"/>
  <c r="AM21" i="5"/>
  <c r="AD58" i="12" s="1"/>
  <c r="AL21" i="5"/>
  <c r="AD57" i="12" s="1"/>
  <c r="AJ21" i="5"/>
  <c r="AH21" i="5"/>
  <c r="AQ18" i="5"/>
  <c r="S46" i="12" s="1"/>
  <c r="AP18" i="5"/>
  <c r="AO18" i="5"/>
  <c r="AN18" i="5"/>
  <c r="AM18" i="5"/>
  <c r="AL18" i="5"/>
  <c r="AD45" i="12" s="1"/>
  <c r="AJ18" i="5"/>
  <c r="AH18" i="5"/>
  <c r="G18" i="5"/>
  <c r="AI48" i="5" s="1"/>
  <c r="AQ13" i="5"/>
  <c r="AP13" i="5"/>
  <c r="AO13" i="5"/>
  <c r="S44" i="11" s="1"/>
  <c r="AN13" i="5"/>
  <c r="AM13" i="5"/>
  <c r="AL13" i="5"/>
  <c r="AD45" i="11" s="1"/>
  <c r="AK13" i="5"/>
  <c r="AJ13" i="5"/>
  <c r="AI13" i="5"/>
  <c r="AH13" i="5"/>
  <c r="D6" i="5"/>
  <c r="D5" i="5"/>
  <c r="R13" i="4"/>
  <c r="Q13" i="4"/>
  <c r="P13" i="4"/>
  <c r="I13" i="4"/>
  <c r="E7" i="4"/>
  <c r="D5" i="4"/>
  <c r="O58" i="3"/>
  <c r="M58" i="3" a="1"/>
  <c r="M58" i="3"/>
  <c r="E58" i="3"/>
  <c r="G57" i="3"/>
  <c r="N21" i="5" s="1"/>
  <c r="AK21" i="5" s="1"/>
  <c r="AD56" i="12" s="1"/>
  <c r="E57" i="3"/>
  <c r="O55" i="3"/>
  <c r="M55" i="3" a="1"/>
  <c r="M55" i="3" s="1"/>
  <c r="E55" i="3"/>
  <c r="E54" i="3"/>
  <c r="G54" i="3" s="1"/>
  <c r="N18" i="5" s="1"/>
  <c r="AK18" i="5" s="1"/>
  <c r="AD44" i="12" s="1"/>
  <c r="O52" i="3"/>
  <c r="M52" i="3" a="1"/>
  <c r="M52" i="3"/>
  <c r="E52" i="3"/>
  <c r="E51" i="3"/>
  <c r="G51" i="3" s="1"/>
  <c r="N60" i="5" s="1"/>
  <c r="AK60" i="5" s="1"/>
  <c r="AD212" i="12" s="1"/>
  <c r="O49" i="3"/>
  <c r="M49" i="3" a="1"/>
  <c r="M49" i="3" s="1"/>
  <c r="E49" i="3"/>
  <c r="E48" i="3"/>
  <c r="G48" i="3" s="1"/>
  <c r="O46" i="3"/>
  <c r="M46" i="3" a="1"/>
  <c r="M46" i="3"/>
  <c r="E46" i="3"/>
  <c r="E45" i="3"/>
  <c r="G45" i="3" s="1"/>
  <c r="N54" i="5" s="1"/>
  <c r="AK54" i="5" s="1"/>
  <c r="AD188" i="12" s="1"/>
  <c r="O43" i="3"/>
  <c r="M43" i="3" a="1"/>
  <c r="M43" i="3" s="1"/>
  <c r="E43" i="3"/>
  <c r="E42" i="3"/>
  <c r="G42" i="3" s="1"/>
  <c r="N51" i="5" s="1"/>
  <c r="AK51" i="5" s="1"/>
  <c r="AD176" i="12" s="1"/>
  <c r="O40" i="3"/>
  <c r="M40" i="3" a="1"/>
  <c r="M40" i="3"/>
  <c r="E40" i="3"/>
  <c r="E39" i="3"/>
  <c r="G39" i="3" s="1"/>
  <c r="O37" i="3"/>
  <c r="M37" i="3" a="1"/>
  <c r="M37" i="3" s="1"/>
  <c r="E37" i="3"/>
  <c r="E36" i="3"/>
  <c r="G36" i="3" s="1"/>
  <c r="N45" i="5" s="1"/>
  <c r="AK45" i="5" s="1"/>
  <c r="AD152" i="12" s="1"/>
  <c r="O34" i="3"/>
  <c r="M34" i="3" a="1"/>
  <c r="M34" i="3"/>
  <c r="E34" i="3"/>
  <c r="E33" i="3"/>
  <c r="G33" i="3" s="1"/>
  <c r="N42" i="5" s="1"/>
  <c r="AK42" i="5" s="1"/>
  <c r="AD140" i="12" s="1"/>
  <c r="O31" i="3"/>
  <c r="M31" i="3" a="1"/>
  <c r="M31" i="3" s="1"/>
  <c r="E31" i="3"/>
  <c r="E30" i="3"/>
  <c r="G30" i="3" s="1"/>
  <c r="O28" i="3"/>
  <c r="M28" i="3" a="1"/>
  <c r="M28" i="3"/>
  <c r="E28" i="3"/>
  <c r="E27" i="3"/>
  <c r="G27" i="3" s="1"/>
  <c r="N36" i="5" s="1"/>
  <c r="AK36" i="5" s="1"/>
  <c r="AD116" i="12" s="1"/>
  <c r="O25" i="3"/>
  <c r="M25" i="3" a="1"/>
  <c r="M25" i="3" s="1"/>
  <c r="E25" i="3"/>
  <c r="G24" i="3"/>
  <c r="N33" i="5" s="1"/>
  <c r="AK33" i="5" s="1"/>
  <c r="AD104" i="12" s="1"/>
  <c r="E24" i="3"/>
  <c r="O22" i="3"/>
  <c r="M22" i="3" a="1"/>
  <c r="M22" i="3"/>
  <c r="E22" i="3"/>
  <c r="E21" i="3"/>
  <c r="G21" i="3" s="1"/>
  <c r="N30" i="5" s="1"/>
  <c r="AK30" i="5" s="1"/>
  <c r="AD92" i="12" s="1"/>
  <c r="O19" i="3"/>
  <c r="M19" i="3" a="1"/>
  <c r="M19" i="3" s="1"/>
  <c r="E19" i="3"/>
  <c r="E18" i="3"/>
  <c r="G18" i="3" s="1"/>
  <c r="O16" i="3"/>
  <c r="M16" i="3" a="1"/>
  <c r="M16" i="3"/>
  <c r="E16" i="3"/>
  <c r="E15" i="3"/>
  <c r="G15" i="3" s="1"/>
  <c r="N24" i="5" s="1"/>
  <c r="AK24" i="5" s="1"/>
  <c r="AD68" i="12" s="1"/>
  <c r="O13" i="3"/>
  <c r="M13" i="3" a="1"/>
  <c r="M13" i="3" s="1"/>
  <c r="E13" i="3"/>
  <c r="E12" i="3"/>
  <c r="G12" i="3" s="1"/>
  <c r="E4" i="3"/>
  <c r="E59" i="2"/>
  <c r="E49" i="2"/>
  <c r="E41" i="2"/>
  <c r="E27" i="2"/>
  <c r="E26" i="2"/>
  <c r="F25" i="2"/>
  <c r="E22" i="2"/>
  <c r="E21" i="2"/>
  <c r="F20" i="2"/>
  <c r="E19" i="2"/>
  <c r="E5" i="2"/>
  <c r="B5" i="1" s="1"/>
  <c r="E3" i="2"/>
  <c r="E2" i="2"/>
  <c r="Y25" i="59"/>
  <c r="AL7" i="25"/>
  <c r="Y23" i="61"/>
  <c r="L23" i="61"/>
  <c r="P2" i="51"/>
  <c r="K2" i="49"/>
  <c r="Y25" i="60"/>
  <c r="AL7" i="22"/>
  <c r="AV51" i="18"/>
  <c r="CB73" i="14"/>
  <c r="L22" i="61"/>
  <c r="AL7" i="21"/>
  <c r="CK56" i="17"/>
  <c r="CK8" i="17"/>
  <c r="K9" i="49"/>
  <c r="AL7" i="19"/>
  <c r="AN49" i="16"/>
  <c r="AN8" i="15"/>
  <c r="L21" i="61"/>
  <c r="Y25" i="58"/>
  <c r="L20" i="61"/>
  <c r="P11" i="51"/>
  <c r="AL7" i="28"/>
  <c r="AN49" i="15"/>
  <c r="AL7" i="24"/>
  <c r="CK83" i="17"/>
  <c r="CB121" i="12"/>
  <c r="AN49" i="11"/>
  <c r="L19" i="61"/>
  <c r="M10" i="50"/>
  <c r="AL7" i="27"/>
  <c r="AV55" i="18"/>
  <c r="CK55" i="17"/>
  <c r="CB61" i="12"/>
  <c r="AL46" i="27"/>
  <c r="AN49" i="13"/>
  <c r="AL46" i="22"/>
  <c r="CB157" i="12"/>
  <c r="CB133" i="12"/>
  <c r="AL46" i="28"/>
  <c r="CB217" i="12"/>
  <c r="CB73" i="12"/>
  <c r="CB49" i="12"/>
  <c r="J13" i="3"/>
  <c r="AL46" i="25"/>
  <c r="CB61" i="14"/>
  <c r="CB181" i="12"/>
  <c r="AN8" i="16"/>
  <c r="CB145" i="12"/>
  <c r="AL46" i="19"/>
  <c r="CB85" i="12"/>
  <c r="AN8" i="11"/>
  <c r="M2" i="50"/>
  <c r="AL46" i="21"/>
  <c r="CB205" i="12"/>
  <c r="CB8" i="12"/>
  <c r="AN8" i="13"/>
  <c r="CB193" i="12"/>
  <c r="CB49" i="14"/>
  <c r="CB8" i="14"/>
  <c r="AL46" i="24"/>
  <c r="AL46" i="20"/>
  <c r="CB109" i="12"/>
  <c r="AL7" i="20"/>
  <c r="CB85" i="14"/>
  <c r="AV8" i="18"/>
  <c r="CK97" i="17"/>
  <c r="CB169" i="12"/>
  <c r="CK69" i="17"/>
  <c r="CB97" i="12"/>
  <c r="K7" i="27" l="1"/>
  <c r="S7" i="27" s="1"/>
  <c r="S6" i="27"/>
  <c r="K61" i="14"/>
  <c r="S61" i="14" s="1"/>
  <c r="S60" i="14"/>
  <c r="K8" i="15"/>
  <c r="S8" i="15" s="1"/>
  <c r="S7" i="15"/>
  <c r="N39" i="5"/>
  <c r="AK39" i="5" s="1"/>
  <c r="AD128" i="12" s="1"/>
  <c r="N68" i="5"/>
  <c r="AK68" i="5" s="1"/>
  <c r="AD56" i="14" s="1"/>
  <c r="N82" i="5"/>
  <c r="AK82" i="5" s="1"/>
  <c r="AG64" i="17" s="1"/>
  <c r="N57" i="5"/>
  <c r="AK57" i="5" s="1"/>
  <c r="AD200" i="12" s="1"/>
  <c r="N88" i="5"/>
  <c r="AK88" i="5" s="1"/>
  <c r="AG92" i="17" s="1"/>
  <c r="N74" i="5"/>
  <c r="AK74" i="5" s="1"/>
  <c r="AD80" i="14" s="1"/>
  <c r="J45" i="28"/>
  <c r="S44" i="28"/>
  <c r="N27" i="5"/>
  <c r="AK27" i="5" s="1"/>
  <c r="AD80" i="12" s="1"/>
  <c r="N65" i="5"/>
  <c r="AK65" i="5" s="1"/>
  <c r="N79" i="5"/>
  <c r="AK79" i="5" s="1"/>
  <c r="AG50" i="17" s="1"/>
  <c r="K73" i="14"/>
  <c r="S73" i="14" s="1"/>
  <c r="S72" i="14"/>
  <c r="J7" i="11"/>
  <c r="S6" i="11"/>
  <c r="S84" i="14"/>
  <c r="K85" i="14"/>
  <c r="S85" i="14" s="1"/>
  <c r="S48" i="12"/>
  <c r="K49" i="12"/>
  <c r="S49" i="12" s="1"/>
  <c r="K217" i="12"/>
  <c r="S217" i="12" s="1"/>
  <c r="S216" i="12"/>
  <c r="J45" i="25"/>
  <c r="S44" i="25"/>
  <c r="S95" i="12"/>
  <c r="J96" i="12"/>
  <c r="J48" i="11"/>
  <c r="S47" i="11"/>
  <c r="J156" i="12"/>
  <c r="S155" i="12"/>
  <c r="J108" i="12"/>
  <c r="S107" i="12"/>
  <c r="K7" i="20"/>
  <c r="S7" i="20" s="1"/>
  <c r="S6" i="20"/>
  <c r="N85" i="5"/>
  <c r="AK85" i="5" s="1"/>
  <c r="AG78" i="17" s="1"/>
  <c r="N71" i="5"/>
  <c r="AK71" i="5" s="1"/>
  <c r="AD68" i="14" s="1"/>
  <c r="N48" i="5"/>
  <c r="AK48" i="5" s="1"/>
  <c r="AD164" i="12" s="1"/>
  <c r="J48" i="13"/>
  <c r="S47" i="13"/>
  <c r="K193" i="12"/>
  <c r="S193" i="12" s="1"/>
  <c r="S192" i="12"/>
  <c r="AI88" i="5"/>
  <c r="K55" i="17"/>
  <c r="AI85" i="5"/>
  <c r="K58" i="18"/>
  <c r="I49" i="18"/>
  <c r="K57" i="18"/>
  <c r="K56" i="18"/>
  <c r="F242" i="43"/>
  <c r="F184" i="43"/>
  <c r="F300" i="43"/>
  <c r="F126" i="43"/>
  <c r="G187" i="43"/>
  <c r="G303" i="43"/>
  <c r="AD46" i="29"/>
  <c r="G69" i="43"/>
  <c r="S72" i="12"/>
  <c r="S120" i="12"/>
  <c r="J180" i="12"/>
  <c r="G5" i="43"/>
  <c r="G84" i="43"/>
  <c r="G24" i="43"/>
  <c r="G258" i="43"/>
  <c r="G200" i="43"/>
  <c r="J132" i="12"/>
  <c r="S44" i="14"/>
  <c r="D4" i="4"/>
  <c r="S46" i="14"/>
  <c r="L22" i="58"/>
  <c r="F23" i="58" s="1"/>
  <c r="G151" i="43"/>
  <c r="AG49" i="17"/>
  <c r="G93" i="43"/>
  <c r="G267" i="43"/>
  <c r="F123" i="43"/>
  <c r="F63" i="43"/>
  <c r="F239" i="43"/>
  <c r="F297" i="43"/>
  <c r="F181" i="43"/>
  <c r="G184" i="43"/>
  <c r="G242" i="43"/>
  <c r="L84" i="17"/>
  <c r="U84" i="17" s="1"/>
  <c r="E31" i="56"/>
  <c r="E4" i="56"/>
  <c r="F32" i="55"/>
  <c r="F29" i="55"/>
  <c r="F160" i="43"/>
  <c r="F218" i="43"/>
  <c r="F102" i="43"/>
  <c r="F42" i="43"/>
  <c r="K8" i="13"/>
  <c r="S8" i="13" s="1"/>
  <c r="F129" i="43"/>
  <c r="G288" i="43"/>
  <c r="G230" i="43"/>
  <c r="G114" i="43"/>
  <c r="G172" i="43"/>
  <c r="G54" i="43"/>
  <c r="S5" i="22"/>
  <c r="J6" i="22"/>
  <c r="S44" i="24"/>
  <c r="G203" i="43"/>
  <c r="G27" i="43"/>
  <c r="G261" i="43"/>
  <c r="G145" i="43"/>
  <c r="F209" i="43"/>
  <c r="F93" i="43"/>
  <c r="F267" i="43"/>
  <c r="AI82" i="5"/>
  <c r="F282" i="43"/>
  <c r="F48" i="43"/>
  <c r="F224" i="43"/>
  <c r="G169" i="43"/>
  <c r="G111" i="43"/>
  <c r="G51" i="43"/>
  <c r="S43" i="27"/>
  <c r="I44" i="27" s="1"/>
  <c r="F108" i="43"/>
  <c r="AI54" i="5"/>
  <c r="K85" i="12"/>
  <c r="S85" i="12" s="1"/>
  <c r="S84" i="12"/>
  <c r="J48" i="16"/>
  <c r="I47" i="16"/>
  <c r="S45" i="21"/>
  <c r="S45" i="22"/>
  <c r="S45" i="24"/>
  <c r="G154" i="43"/>
  <c r="F221" i="43"/>
  <c r="F163" i="43"/>
  <c r="F279" i="43"/>
  <c r="F45" i="43"/>
  <c r="G282" i="43"/>
  <c r="G48" i="43"/>
  <c r="G224" i="43"/>
  <c r="G108" i="43"/>
  <c r="S83" i="12"/>
  <c r="S215" i="12"/>
  <c r="G36" i="43"/>
  <c r="G126" i="43"/>
  <c r="S47" i="12"/>
  <c r="J50" i="18"/>
  <c r="F166" i="43"/>
  <c r="AC41" i="20"/>
  <c r="K7" i="25"/>
  <c r="S7" i="25" s="1"/>
  <c r="S6" i="25"/>
  <c r="S5" i="27"/>
  <c r="AI60" i="5"/>
  <c r="AI24" i="5"/>
  <c r="AI30" i="5"/>
  <c r="AI33" i="5"/>
  <c r="G270" i="43"/>
  <c r="AD43" i="15"/>
  <c r="F261" i="43"/>
  <c r="F27" i="43"/>
  <c r="F203" i="43"/>
  <c r="F145" i="43"/>
  <c r="F87" i="43"/>
  <c r="AI21" i="5"/>
  <c r="AI36" i="5"/>
  <c r="O22" i="58"/>
  <c r="AD46" i="14"/>
  <c r="F285" i="43"/>
  <c r="F51" i="43"/>
  <c r="F111" i="43"/>
  <c r="F303" i="43"/>
  <c r="F187" i="43"/>
  <c r="AC41" i="24"/>
  <c r="G306" i="43"/>
  <c r="G72" i="43"/>
  <c r="G190" i="43"/>
  <c r="S42" i="27"/>
  <c r="F258" i="43"/>
  <c r="F84" i="43"/>
  <c r="F200" i="43"/>
  <c r="F142" i="43"/>
  <c r="F24" i="43"/>
  <c r="AI18" i="5"/>
  <c r="AI57" i="5"/>
  <c r="S7" i="12"/>
  <c r="K33" i="30"/>
  <c r="B34" i="30"/>
  <c r="AI51" i="5"/>
  <c r="J48" i="15"/>
  <c r="G300" i="43"/>
  <c r="L21" i="58"/>
  <c r="J144" i="12"/>
  <c r="G129" i="43"/>
  <c r="G166" i="43"/>
  <c r="F2" i="50"/>
  <c r="O21" i="58"/>
  <c r="AI45" i="5"/>
  <c r="AI68" i="5"/>
  <c r="AD43" i="12"/>
  <c r="K51" i="18"/>
  <c r="S51" i="18" s="1"/>
  <c r="S5" i="20"/>
  <c r="S6" i="21"/>
  <c r="K69" i="30"/>
  <c r="E70" i="30"/>
  <c r="K70" i="30" s="1"/>
  <c r="G87" i="43"/>
  <c r="F169" i="43"/>
  <c r="F227" i="43"/>
  <c r="H25" i="59"/>
  <c r="L25" i="59" s="1"/>
  <c r="L24" i="59"/>
  <c r="AI27" i="5"/>
  <c r="AI42" i="5"/>
  <c r="S167" i="12"/>
  <c r="J168" i="12"/>
  <c r="J6" i="19"/>
  <c r="S5" i="19"/>
  <c r="AC41" i="19"/>
  <c r="AC41" i="21"/>
  <c r="G132" i="43"/>
  <c r="G227" i="43"/>
  <c r="H10" i="40"/>
  <c r="I27" i="35"/>
  <c r="I10" i="45"/>
  <c r="I11" i="32"/>
  <c r="I11" i="33"/>
  <c r="I8" i="34"/>
  <c r="I26" i="30"/>
  <c r="J60" i="12"/>
  <c r="S59" i="12"/>
  <c r="J6" i="24"/>
  <c r="I9" i="34"/>
  <c r="H16" i="31"/>
  <c r="H11" i="40"/>
  <c r="AI39" i="5"/>
  <c r="K69" i="17"/>
  <c r="U68" i="17"/>
  <c r="S44" i="19"/>
  <c r="J45" i="19"/>
  <c r="F230" i="43"/>
  <c r="F114" i="43"/>
  <c r="F172" i="43"/>
  <c r="G291" i="43"/>
  <c r="G117" i="43"/>
  <c r="G175" i="43"/>
  <c r="AC41" i="22"/>
  <c r="S41" i="27"/>
  <c r="S41" i="28"/>
  <c r="F72" i="43"/>
  <c r="F306" i="43"/>
  <c r="F190" i="43"/>
  <c r="G309" i="43"/>
  <c r="G135" i="43"/>
  <c r="AC41" i="25"/>
  <c r="G251" i="43"/>
  <c r="D35" i="7"/>
  <c r="D36" i="7"/>
  <c r="D37" i="7" s="1"/>
  <c r="D38" i="7" s="1"/>
  <c r="AD43" i="11"/>
  <c r="K8" i="14"/>
  <c r="S8" i="14" s="1"/>
  <c r="U7" i="17"/>
  <c r="F66" i="43"/>
  <c r="G96" i="43"/>
  <c r="G193" i="43"/>
  <c r="F276" i="43"/>
  <c r="S5" i="28"/>
  <c r="J6" i="28"/>
  <c r="F206" i="43"/>
  <c r="F30" i="43"/>
  <c r="G218" i="43"/>
  <c r="G102" i="43"/>
  <c r="G42" i="43"/>
  <c r="G160" i="43"/>
  <c r="K8" i="18"/>
  <c r="S8" i="18" s="1"/>
  <c r="J7" i="18"/>
  <c r="I6" i="18"/>
  <c r="J45" i="20"/>
  <c r="S44" i="20"/>
  <c r="G206" i="43"/>
  <c r="O19" i="58"/>
  <c r="G90" i="43"/>
  <c r="F233" i="43"/>
  <c r="F117" i="43"/>
  <c r="F57" i="43"/>
  <c r="G236" i="43"/>
  <c r="G178" i="43"/>
  <c r="G120" i="43"/>
  <c r="G60" i="43"/>
  <c r="G254" i="43"/>
  <c r="AD46" i="26"/>
  <c r="G138" i="43"/>
  <c r="F148" i="43"/>
  <c r="G294" i="43"/>
  <c r="G24" i="60"/>
  <c r="L23" i="60"/>
  <c r="I9" i="45"/>
  <c r="I25" i="30"/>
  <c r="I10" i="32"/>
  <c r="H14" i="31"/>
  <c r="G273" i="43"/>
  <c r="G99" i="43"/>
  <c r="G157" i="43"/>
  <c r="G148" i="43"/>
  <c r="F5" i="39"/>
  <c r="F5" i="37"/>
  <c r="G221" i="43"/>
  <c r="G45" i="43"/>
  <c r="G279" i="43"/>
  <c r="G239" i="43"/>
  <c r="G63" i="43"/>
  <c r="AC41" i="28"/>
  <c r="G181" i="43"/>
  <c r="F312" i="43"/>
  <c r="F254" i="43"/>
  <c r="F138" i="43"/>
  <c r="F120" i="43"/>
  <c r="U15" i="57"/>
  <c r="AA11" i="57"/>
  <c r="E5" i="50"/>
  <c r="J46" i="55"/>
  <c r="M200" i="43"/>
  <c r="J51" i="55"/>
  <c r="AA13" i="57"/>
  <c r="L56" i="17" l="1"/>
  <c r="U56" i="17" s="1"/>
  <c r="U55" i="17"/>
  <c r="K109" i="12"/>
  <c r="S109" i="12" s="1"/>
  <c r="S108" i="12"/>
  <c r="L24" i="60"/>
  <c r="H25" i="60"/>
  <c r="L25" i="60" s="1"/>
  <c r="J45" i="27"/>
  <c r="S44" i="27"/>
  <c r="K7" i="24"/>
  <c r="S7" i="24" s="1"/>
  <c r="S6" i="24"/>
  <c r="S6" i="28"/>
  <c r="K7" i="28"/>
  <c r="S7" i="28" s="1"/>
  <c r="S144" i="12"/>
  <c r="K145" i="12"/>
  <c r="S145" i="12" s="1"/>
  <c r="S48" i="11"/>
  <c r="K49" i="11"/>
  <c r="S49" i="11" s="1"/>
  <c r="S7" i="11"/>
  <c r="K8" i="11"/>
  <c r="S8" i="11" s="1"/>
  <c r="S60" i="12"/>
  <c r="K61" i="12"/>
  <c r="S61" i="12" s="1"/>
  <c r="K7" i="22"/>
  <c r="S7" i="22" s="1"/>
  <c r="S6" i="22"/>
  <c r="S48" i="13"/>
  <c r="K49" i="13"/>
  <c r="S49" i="13" s="1"/>
  <c r="K97" i="12"/>
  <c r="S97" i="12" s="1"/>
  <c r="S96" i="12"/>
  <c r="S45" i="20"/>
  <c r="K46" i="20"/>
  <c r="S46" i="20" s="1"/>
  <c r="S6" i="19"/>
  <c r="K7" i="19"/>
  <c r="S7" i="19" s="1"/>
  <c r="K169" i="12"/>
  <c r="S169" i="12" s="1"/>
  <c r="S168" i="12"/>
  <c r="S48" i="15"/>
  <c r="K49" i="15"/>
  <c r="S49" i="15" s="1"/>
  <c r="S48" i="16"/>
  <c r="K49" i="16"/>
  <c r="S49" i="16" s="1"/>
  <c r="K181" i="12"/>
  <c r="S181" i="12" s="1"/>
  <c r="S180" i="12"/>
  <c r="S45" i="25"/>
  <c r="K46" i="25"/>
  <c r="S46" i="25" s="1"/>
  <c r="O20" i="58"/>
  <c r="AD44" i="14"/>
  <c r="U69" i="17"/>
  <c r="L70" i="17"/>
  <c r="U70" i="17" s="1"/>
  <c r="I31" i="30"/>
  <c r="I136" i="30" s="1"/>
  <c r="H31" i="30"/>
  <c r="H136" i="30" s="1"/>
  <c r="G24" i="58"/>
  <c r="L23" i="58"/>
  <c r="D42" i="7"/>
  <c r="D43" i="7" s="1"/>
  <c r="D44" i="7" s="1"/>
  <c r="D39" i="7"/>
  <c r="D40" i="7"/>
  <c r="K133" i="12"/>
  <c r="S133" i="12" s="1"/>
  <c r="S132" i="12"/>
  <c r="K157" i="12"/>
  <c r="S157" i="12" s="1"/>
  <c r="S156" i="12"/>
  <c r="S45" i="19"/>
  <c r="K46" i="19"/>
  <c r="S46" i="19" s="1"/>
  <c r="J48" i="14"/>
  <c r="I47" i="14"/>
  <c r="K46" i="28"/>
  <c r="S46" i="28" s="1"/>
  <c r="S45" i="28"/>
  <c r="S48" i="14" l="1"/>
  <c r="K49" i="14"/>
  <c r="S49" i="14" s="1"/>
  <c r="K46" i="27"/>
  <c r="S46" i="27" s="1"/>
  <c r="S45" i="27"/>
  <c r="L24" i="58"/>
  <c r="H25" i="58"/>
  <c r="L25" i="58" s="1"/>
  <c r="D50" i="7"/>
  <c r="D46" i="7"/>
  <c r="D45" i="7"/>
  <c r="D48" i="7"/>
  <c r="D47" i="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<sst xmlns="http://schemas.openxmlformats.org/spreadsheetml/2006/main" count="14226" uniqueCount="3391">
  <si>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</si>
  <si>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</si>
  <si>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</si>
  <si>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</si>
  <si>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</si>
  <si>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</si>
  <si>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</si>
  <si>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</si>
  <si>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</si>
  <si>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</si>
  <si>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</si>
  <si>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</si>
  <si>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</si>
  <si>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</si>
  <si>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Республика Марий Эл</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</si>
  <si>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</si>
  <si>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</si>
  <si>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</si>
  <si>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</si>
  <si>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</si>
  <si>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</si>
  <si>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</si>
  <si>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</si>
  <si>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</si>
  <si>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</si>
  <si>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</si>
  <si>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</si>
  <si>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</si>
  <si>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</si>
  <si>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</si>
  <si>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</si>
  <si>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</si>
  <si>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</si>
  <si>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</si>
  <si>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</si>
  <si>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</si>
  <si>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</si>
  <si>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124 т, 125 т, 126 т, 169 т</t>
  </si>
  <si>
    <t>Наименование органа регулирования, принявшего решение об утверждении тарифов</t>
  </si>
  <si>
    <t>Министерство промышленности, экономического развития и торговли Республики Марий Эл</t>
  </si>
  <si>
    <t>Источник официального опубликования решения</t>
  </si>
  <si>
    <t>портал Официальное опубликование нормативных правовых актов  Республики Марий Эл</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</si>
  <si>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</si>
  <si>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</si>
  <si>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</si>
  <si>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"Марикоммунэнерго"</t>
  </si>
  <si>
    <t>Наименование (описание) обособленного подразделения</t>
  </si>
  <si>
    <t>ИНН</t>
  </si>
  <si>
    <t>1215126037</t>
  </si>
  <si>
    <t>КПП</t>
  </si>
  <si>
    <t>121501001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</si>
  <si>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</si>
  <si>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</si>
  <si>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</si>
  <si>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</si>
  <si>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</si>
  <si>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</si>
  <si>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</si>
  <si>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</si>
  <si>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</si>
  <si>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</si>
  <si>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</si>
  <si>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</si>
  <si>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</si>
  <si>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</si>
  <si>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</si>
  <si>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</si>
  <si>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</si>
  <si>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</si>
  <si>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</si>
  <si>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424003, Республика Марий Эл, г. Йошкр-Ола, ул. Зарубина,53</t>
  </si>
  <si>
    <t>Фамилия, имя, отчество руководителя</t>
  </si>
  <si>
    <t>Белоусов Сергей Валерьевич</t>
  </si>
  <si>
    <t>Ответственный за заполнение формы</t>
  </si>
  <si>
    <t>Фамилия, имя, отчество</t>
  </si>
  <si>
    <t>Дорохова Наталия Валерияновна</t>
  </si>
  <si>
    <t>Должность</t>
  </si>
  <si>
    <t>экономист группы по ценам и тарифам</t>
  </si>
  <si>
    <t>Контактный телефон</t>
  </si>
  <si>
    <t>8(8362) 38-20-35</t>
  </si>
  <si>
    <t>E-mail</t>
  </si>
  <si>
    <t>mke@mari-el.ru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</si>
  <si>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</si>
  <si>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</si>
  <si>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</si>
  <si>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</si>
  <si>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</si>
  <si>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</si>
  <si>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</si>
  <si>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</si>
  <si>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</si>
  <si>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</si>
  <si>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</si>
  <si>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</si>
  <si>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</si>
  <si>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</si>
  <si>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</si>
  <si>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</si>
  <si>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</si>
  <si>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Волжский муниципальный район</t>
  </si>
  <si>
    <t>88604000</t>
  </si>
  <si>
    <t>Добавить МО</t>
  </si>
  <si>
    <t>×</t>
  </si>
  <si>
    <t>ter_55</t>
  </si>
  <si>
    <t>11</t>
  </si>
  <si>
    <t>Горномарийский муниципальный район</t>
  </si>
  <si>
    <t>88608000</t>
  </si>
  <si>
    <t>ter_56</t>
  </si>
  <si>
    <t>21</t>
  </si>
  <si>
    <t>Звениговский муниципальный район</t>
  </si>
  <si>
    <t>88612000</t>
  </si>
  <si>
    <t>ter_57</t>
  </si>
  <si>
    <t>35</t>
  </si>
  <si>
    <t>Килемарский муниципальный район</t>
  </si>
  <si>
    <t>88616000</t>
  </si>
  <si>
    <t>5</t>
  </si>
  <si>
    <t>ter_58</t>
  </si>
  <si>
    <t>43</t>
  </si>
  <si>
    <t>Куженерский муниципальный район</t>
  </si>
  <si>
    <t>88620000</t>
  </si>
  <si>
    <t>ter_59</t>
  </si>
  <si>
    <t>55</t>
  </si>
  <si>
    <t>Мари-Турекский муниципальный район</t>
  </si>
  <si>
    <t>88624000</t>
  </si>
  <si>
    <t>ter_60</t>
  </si>
  <si>
    <t>67</t>
  </si>
  <si>
    <t>Медведевский муниципальный район</t>
  </si>
  <si>
    <t>88628000</t>
  </si>
  <si>
    <t>8</t>
  </si>
  <si>
    <t>ter_61</t>
  </si>
  <si>
    <t>84</t>
  </si>
  <si>
    <t>Моркинский муниципальный район</t>
  </si>
  <si>
    <t>88632000</t>
  </si>
  <si>
    <t>9</t>
  </si>
  <si>
    <t>ter_62</t>
  </si>
  <si>
    <t>93</t>
  </si>
  <si>
    <t>Новоторъяльский муниципальный район</t>
  </si>
  <si>
    <t>88636000</t>
  </si>
  <si>
    <t>10</t>
  </si>
  <si>
    <t>ter_63</t>
  </si>
  <si>
    <t>103</t>
  </si>
  <si>
    <t>Оршанский муниципальный район</t>
  </si>
  <si>
    <t>88640000</t>
  </si>
  <si>
    <t>ter_64</t>
  </si>
  <si>
    <t>115</t>
  </si>
  <si>
    <t>Параньгинский муниципальный район</t>
  </si>
  <si>
    <t>88644000</t>
  </si>
  <si>
    <t>12</t>
  </si>
  <si>
    <t>ter_65</t>
  </si>
  <si>
    <t>127</t>
  </si>
  <si>
    <t>Сернурский муниципальный район</t>
  </si>
  <si>
    <t>88648000</t>
  </si>
  <si>
    <t>13</t>
  </si>
  <si>
    <t>ter_66</t>
  </si>
  <si>
    <t>136</t>
  </si>
  <si>
    <t>Советский муниципальный район</t>
  </si>
  <si>
    <t>88652000</t>
  </si>
  <si>
    <t>14</t>
  </si>
  <si>
    <t>ter_67</t>
  </si>
  <si>
    <t>144</t>
  </si>
  <si>
    <t>Юринский муниципальный район</t>
  </si>
  <si>
    <t>88656000</t>
  </si>
  <si>
    <t>15</t>
  </si>
  <si>
    <t>ter_68</t>
  </si>
  <si>
    <t>148</t>
  </si>
  <si>
    <t>г. Йошкар-Ола</t>
  </si>
  <si>
    <t>88701000</t>
  </si>
  <si>
    <t>16</t>
  </si>
  <si>
    <t>ter_69</t>
  </si>
  <si>
    <t>149</t>
  </si>
  <si>
    <t>г. Козьмодемьянск</t>
  </si>
  <si>
    <t>88715000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</si>
  <si>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</si>
  <si>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</si>
  <si>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</si>
  <si>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</si>
  <si>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</si>
  <si>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</si>
  <si>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</si>
  <si>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</si>
  <si>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</si>
  <si>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</si>
  <si>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</si>
  <si>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</si>
  <si>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</si>
  <si>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</si>
  <si>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</si>
  <si>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</si>
  <si>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</si>
  <si>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</si>
  <si>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</si>
  <si>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</si>
  <si>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</si>
  <si>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</si>
  <si>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</si>
  <si>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</si>
  <si>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</si>
  <si>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</si>
  <si>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</si>
  <si>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</si>
  <si>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</si>
  <si>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</si>
  <si>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</si>
  <si>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</si>
  <si>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</si>
  <si>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</si>
  <si>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</si>
  <si>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</si>
  <si>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</si>
  <si>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</si>
  <si>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</si>
  <si>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</si>
  <si>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</si>
  <si>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</si>
  <si>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</si>
  <si>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</si>
  <si>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</si>
  <si>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</si>
  <si>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</si>
  <si>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</si>
  <si>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</si>
  <si>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</si>
  <si>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</si>
  <si>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</si>
  <si>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</si>
  <si>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</si>
  <si>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</si>
  <si>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</si>
  <si>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</si>
  <si>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</si>
  <si>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pt_ter_36</t>
  </si>
  <si>
    <t>pt_cs_36</t>
  </si>
  <si>
    <t>pt_ist_te_36</t>
  </si>
  <si>
    <t>pt_ter_37</t>
  </si>
  <si>
    <t>pt_cs_37</t>
  </si>
  <si>
    <t>pt_ist_te_37</t>
  </si>
  <si>
    <t>pt_ter_38</t>
  </si>
  <si>
    <t>pt_cs_38</t>
  </si>
  <si>
    <t>pt_ist_te_38</t>
  </si>
  <si>
    <t>pt_ter_39</t>
  </si>
  <si>
    <t>pt_cs_39</t>
  </si>
  <si>
    <t>pt_ist_te_39</t>
  </si>
  <si>
    <t>pt_ter_40</t>
  </si>
  <si>
    <t>pt_cs_40</t>
  </si>
  <si>
    <t>pt_ist_te_40</t>
  </si>
  <si>
    <t>pt_ter_41</t>
  </si>
  <si>
    <t>pt_cs_41</t>
  </si>
  <si>
    <t>pt_ist_te_41</t>
  </si>
  <si>
    <t>pt_ter_42</t>
  </si>
  <si>
    <t>pt_cs_42</t>
  </si>
  <si>
    <t>pt_ist_te_42</t>
  </si>
  <si>
    <t>pt_ter_43</t>
  </si>
  <si>
    <t>pt_cs_43</t>
  </si>
  <si>
    <t>pt_ist_te_43</t>
  </si>
  <si>
    <t>pt_ter_44</t>
  </si>
  <si>
    <t>pt_cs_44</t>
  </si>
  <si>
    <t>pt_ist_te_44</t>
  </si>
  <si>
    <t>pt_ter_45</t>
  </si>
  <si>
    <t>pt_cs_45</t>
  </si>
  <si>
    <t>pt_ist_te_45</t>
  </si>
  <si>
    <t>pt_ter_46</t>
  </si>
  <si>
    <t>pt_cs_46</t>
  </si>
  <si>
    <t>pt_ist_te_46</t>
  </si>
  <si>
    <t>pt_ter_47</t>
  </si>
  <si>
    <t>pt_cs_47</t>
  </si>
  <si>
    <t>pt_ist_te_47</t>
  </si>
  <si>
    <t>pt_ter_48</t>
  </si>
  <si>
    <t>pt_cs_48</t>
  </si>
  <si>
    <t>pt_ist_te_48</t>
  </si>
  <si>
    <t>pt_ter_49</t>
  </si>
  <si>
    <t>pt_cs_49</t>
  </si>
  <si>
    <t>pt_ist_te_49</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</si>
  <si>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</si>
  <si>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</si>
  <si>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</si>
  <si>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</si>
  <si>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 4190069; 4190071</t>
  </si>
  <si>
    <t>pIns_PT_VTAR_C</t>
  </si>
  <si>
    <t>pt_ntar_3</t>
  </si>
  <si>
    <t>pt_ter_3</t>
  </si>
  <si>
    <t>pt_cs_3</t>
  </si>
  <si>
    <t>pt_ist_te_3</t>
  </si>
  <si>
    <t>pt_ter_30</t>
  </si>
  <si>
    <t>pt_cs_30</t>
  </si>
  <si>
    <t>pt_ist_te_30</t>
  </si>
  <si>
    <t>pt_ter_31</t>
  </si>
  <si>
    <t>pt_cs_31</t>
  </si>
  <si>
    <t>pt_ist_te_31</t>
  </si>
  <si>
    <t>pt_ter_32</t>
  </si>
  <si>
    <t>pt_cs_32</t>
  </si>
  <si>
    <t>pt_ist_te_32</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</si>
  <si>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</si>
  <si>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поставляемую потребителям в открытой системе теплоснабжения (горячее водоснабжение)</t>
  </si>
  <si>
    <t>4190067; 4190069</t>
  </si>
  <si>
    <t>pIns_PT_VTAR_D</t>
  </si>
  <si>
    <t>pt_ntar_4</t>
  </si>
  <si>
    <t>pt_ter_4</t>
  </si>
  <si>
    <t>pt_cs_4</t>
  </si>
  <si>
    <t>pt_ist_te_4</t>
  </si>
  <si>
    <t>pt_ter_33</t>
  </si>
  <si>
    <t>pt_cs_33</t>
  </si>
  <si>
    <t>pt_ist_te_33</t>
  </si>
  <si>
    <t>pt_ter_34</t>
  </si>
  <si>
    <t>pt_cs_34</t>
  </si>
  <si>
    <t>pt_ist_te_34</t>
  </si>
  <si>
    <t>pt_ter_35</t>
  </si>
  <si>
    <t>pt_cs_35</t>
  </si>
  <si>
    <t>pt_ist_te_35</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</si>
  <si>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</si>
  <si>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</si>
  <si>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</si>
  <si>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</si>
  <si>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</si>
  <si>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</si>
  <si>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</si>
  <si>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</si>
  <si>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</si>
  <si>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</si>
  <si>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</si>
  <si>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</si>
  <si>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</si>
  <si>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</si>
  <si>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</si>
  <si>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</si>
  <si>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</si>
  <si>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</si>
  <si>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</si>
  <si>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t>
  </si>
  <si>
    <t>4190072</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</si>
  <si>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</si>
  <si>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</si>
  <si>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</si>
  <si>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</si>
  <si>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</si>
  <si>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</si>
  <si>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</si>
  <si>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</si>
  <si>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</si>
  <si>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</si>
  <si>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</si>
  <si>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</si>
  <si>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</si>
  <si>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</si>
  <si>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</si>
  <si>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</si>
  <si>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</si>
  <si>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</si>
  <si>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</si>
  <si>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</si>
  <si>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</si>
  <si>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</si>
  <si>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</si>
  <si>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</si>
  <si>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</si>
  <si>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</si>
  <si>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</si>
  <si>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</si>
  <si>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</si>
  <si>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</si>
  <si>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</si>
  <si>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</si>
  <si>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</si>
  <si>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</si>
  <si>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</si>
  <si>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</si>
  <si>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</si>
  <si>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</si>
  <si>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</si>
  <si>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</si>
  <si>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</si>
  <si>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</si>
  <si>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</si>
  <si>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</si>
  <si>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</si>
  <si>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</si>
  <si>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</si>
  <si>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</si>
  <si>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</si>
  <si>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</si>
  <si>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</si>
  <si>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</si>
  <si>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</si>
  <si>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</si>
  <si>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</si>
  <si>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</si>
  <si>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</si>
  <si>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</si>
  <si>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</si>
  <si>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</si>
  <si>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</si>
  <si>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</si>
  <si>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</si>
  <si>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</si>
  <si>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</si>
  <si>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</si>
  <si>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</si>
  <si>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</si>
  <si>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</si>
  <si>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</si>
  <si>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</si>
  <si>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</si>
  <si>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</si>
  <si>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</si>
  <si>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</si>
  <si>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</si>
  <si>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</si>
  <si>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</si>
  <si>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</si>
  <si>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</si>
  <si>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</si>
  <si>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</si>
  <si>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</si>
  <si>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</si>
  <si>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</si>
  <si>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</si>
  <si>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</si>
  <si>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</si>
  <si>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</si>
  <si>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</si>
  <si>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</si>
  <si>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</si>
  <si>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</si>
  <si>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</si>
  <si>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</si>
  <si>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</si>
  <si>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</si>
  <si>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</si>
  <si>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</si>
  <si>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</si>
  <si>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</si>
  <si>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</si>
  <si>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</si>
  <si>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</si>
  <si>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</si>
  <si>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</si>
  <si>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</si>
  <si>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</si>
  <si>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</si>
  <si>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</si>
  <si>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</si>
  <si>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</si>
  <si>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</si>
  <si>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</si>
  <si>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</si>
  <si>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</si>
  <si>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</si>
  <si>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</si>
  <si>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</si>
  <si>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</si>
  <si>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</si>
  <si>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</si>
  <si>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</si>
  <si>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</si>
  <si>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</si>
  <si>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</si>
  <si>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</si>
  <si>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</si>
  <si>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</si>
  <si>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</si>
  <si>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</si>
  <si>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</si>
  <si>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</si>
  <si>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</si>
  <si>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</si>
  <si>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</si>
  <si>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</si>
  <si>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</si>
  <si>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</si>
  <si>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</si>
  <si>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</si>
  <si>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</si>
  <si>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</si>
  <si>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</si>
  <si>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</si>
  <si>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</si>
  <si>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</si>
  <si>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</si>
  <si>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</si>
  <si>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</si>
  <si>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</si>
  <si>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</si>
  <si>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</si>
  <si>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</si>
  <si>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</si>
  <si>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</si>
  <si>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</si>
  <si>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</si>
  <si>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</si>
  <si>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</si>
  <si>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</si>
  <si>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</si>
  <si>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</si>
  <si>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</si>
  <si>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</si>
  <si>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</si>
  <si>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</si>
  <si>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</si>
  <si>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</si>
  <si>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</si>
  <si>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</si>
  <si>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</si>
  <si>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</si>
  <si>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</si>
  <si>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</si>
  <si>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</si>
  <si>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</si>
  <si>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</si>
  <si>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</si>
  <si>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</si>
  <si>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</si>
  <si>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</si>
  <si>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</si>
  <si>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</si>
  <si>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</si>
  <si>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</si>
  <si>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</si>
  <si>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</si>
  <si>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</si>
  <si>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</si>
  <si>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</si>
  <si>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</si>
  <si>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</si>
  <si>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</si>
  <si>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</si>
  <si>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</si>
  <si>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</si>
  <si>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</si>
  <si>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</si>
  <si>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</si>
  <si>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</si>
  <si>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</si>
  <si>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</si>
  <si>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</si>
  <si>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</si>
  <si>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</si>
  <si>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</si>
  <si>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</si>
  <si>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</si>
  <si>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</si>
  <si>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</si>
  <si>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</si>
  <si>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</si>
  <si>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</si>
  <si>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</si>
  <si>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</si>
  <si>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</si>
  <si>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</si>
  <si>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</si>
  <si>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</si>
  <si>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</si>
  <si>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</si>
  <si>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</si>
  <si>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</si>
  <si>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</si>
  <si>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</si>
  <si>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</si>
  <si>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</si>
  <si>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</si>
  <si>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</si>
  <si>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</si>
  <si>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</si>
  <si>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</si>
  <si>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</si>
  <si>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</si>
  <si>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</si>
  <si>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</si>
  <si>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</si>
  <si>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</si>
  <si>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</si>
  <si>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</si>
  <si>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</si>
  <si>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</si>
  <si>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</si>
  <si>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</si>
  <si>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</si>
  <si>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</si>
  <si>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</si>
  <si>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</si>
  <si>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</si>
  <si>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</si>
  <si>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</si>
  <si>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</si>
  <si>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</si>
  <si>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</si>
  <si>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</si>
  <si>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</si>
  <si>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</si>
  <si>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</si>
  <si>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</si>
  <si>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</si>
  <si>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</si>
  <si>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</si>
  <si>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</si>
  <si>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</si>
  <si>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</si>
  <si>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</si>
  <si>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</si>
  <si>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тыс.руб./Гкал/ч</t>
  </si>
  <si>
    <t>с НДС</t>
  </si>
  <si>
    <t>без НДС</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</si>
  <si>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(включая проектирование)</t>
  </si>
  <si>
    <t>надземная (наземная)</t>
  </si>
  <si>
    <t>50 - 250 мм</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</si>
  <si>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</si>
  <si>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Расходы на проведение мероприятий  по подключению объектов заявителей</t>
  </si>
  <si>
    <t>превышает 1,5 Гкал/ч при наличии технической возможности подключения</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</si>
  <si>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</si>
  <si>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</si>
  <si>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</si>
  <si>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</si>
  <si>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</si>
  <si>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</si>
  <si>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</si>
  <si>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</si>
  <si>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</si>
  <si>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</si>
  <si>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</si>
  <si>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</si>
  <si>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</si>
  <si>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</si>
  <si>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</si>
  <si>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</si>
  <si>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</si>
  <si>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</si>
  <si>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</si>
  <si>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</si>
  <si>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</si>
  <si>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</si>
  <si>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</si>
  <si>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</si>
  <si>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</si>
  <si>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</si>
  <si>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</si>
  <si>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</si>
  <si>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</si>
  <si>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</si>
  <si>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</si>
  <si>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</si>
  <si>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</si>
  <si>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</si>
  <si>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</si>
  <si>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</si>
  <si>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</si>
  <si>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</si>
  <si>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</si>
  <si>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</si>
  <si>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</si>
  <si>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</si>
  <si>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</si>
  <si>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</si>
  <si>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</si>
  <si>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</si>
  <si>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</si>
  <si>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</si>
  <si>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</si>
  <si>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</si>
  <si>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</si>
  <si>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</si>
  <si>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</si>
  <si>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</si>
  <si>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</si>
  <si>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</si>
  <si>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</si>
  <si>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</si>
  <si>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</si>
  <si>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</si>
  <si>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</si>
  <si>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</si>
  <si>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</si>
  <si>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</si>
  <si>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</si>
  <si>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</si>
  <si>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</si>
  <si>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</si>
  <si>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</si>
  <si>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</si>
  <si>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</si>
  <si>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</si>
  <si>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</si>
  <si>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</si>
  <si>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</si>
  <si>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</si>
  <si>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</si>
  <si>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</si>
  <si>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</si>
  <si>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</si>
  <si>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</si>
  <si>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</si>
  <si>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</si>
  <si>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</si>
  <si>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</si>
  <si>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</si>
  <si>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</si>
  <si>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</si>
  <si>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</si>
  <si>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</si>
  <si>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</si>
  <si>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</si>
  <si>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</si>
  <si>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</si>
  <si>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</si>
  <si>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</si>
  <si>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</si>
  <si>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</si>
  <si>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</si>
  <si>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</si>
  <si>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</si>
  <si>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</si>
  <si>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</si>
  <si>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</si>
  <si>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</si>
  <si>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</si>
  <si>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</si>
  <si>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</si>
  <si>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</si>
  <si>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</si>
  <si>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</si>
  <si>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</si>
  <si>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</si>
  <si>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</si>
  <si>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</si>
  <si>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</si>
  <si>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</si>
  <si>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</si>
  <si>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</si>
  <si>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</si>
  <si>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</si>
  <si>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</si>
  <si>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</si>
  <si>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</si>
  <si>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</si>
  <si>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</si>
  <si>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</si>
  <si>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</si>
  <si>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</si>
  <si>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</si>
  <si>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</si>
  <si>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</si>
  <si>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</si>
  <si>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</si>
  <si>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</si>
  <si>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</si>
  <si>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</si>
  <si>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</si>
  <si>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</si>
  <si>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</si>
  <si>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</si>
  <si>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</si>
  <si>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</si>
  <si>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</si>
  <si>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</si>
  <si>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</si>
  <si>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</si>
  <si>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</si>
  <si>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</si>
  <si>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</si>
  <si>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</si>
  <si>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</si>
  <si>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</si>
  <si>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</si>
  <si>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</si>
  <si>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</si>
  <si>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</si>
  <si>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</si>
  <si>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</si>
  <si>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</si>
  <si>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</si>
  <si>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</si>
  <si>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</si>
  <si>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</si>
  <si>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</si>
  <si>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</si>
  <si>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</si>
  <si>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</si>
  <si>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</si>
  <si>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</si>
  <si>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</si>
  <si>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</si>
  <si>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</si>
  <si>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</si>
  <si>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</si>
  <si>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</si>
  <si>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</si>
  <si>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</si>
  <si>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</si>
  <si>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</si>
  <si>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</si>
  <si>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</si>
  <si>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</si>
  <si>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</si>
  <si>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</si>
  <si>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</si>
  <si>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</si>
  <si>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</si>
  <si>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</si>
  <si>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</si>
  <si>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</si>
  <si>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</si>
  <si>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</si>
  <si>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</si>
  <si>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</si>
  <si>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</si>
  <si>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</si>
  <si>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</si>
  <si>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</si>
  <si>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</si>
  <si>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</si>
  <si>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</si>
  <si>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</si>
  <si>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</si>
  <si>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</si>
  <si>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</si>
  <si>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</si>
  <si>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</si>
  <si>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</si>
  <si>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</si>
  <si>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</si>
  <si>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</si>
  <si>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</si>
  <si>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</si>
  <si>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</si>
  <si>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</si>
  <si>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</si>
  <si>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</si>
  <si>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</si>
  <si>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</si>
  <si>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</si>
  <si>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</si>
  <si>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</si>
  <si>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</si>
  <si>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</si>
  <si>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</si>
  <si>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</si>
  <si>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</si>
  <si>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</si>
  <si>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</si>
  <si>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</si>
  <si>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</si>
  <si>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</si>
  <si>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</si>
  <si>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</si>
  <si>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</si>
  <si>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</si>
  <si>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</si>
  <si>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</si>
  <si>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</si>
  <si>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</si>
  <si>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</si>
  <si>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</si>
  <si>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</si>
  <si>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</si>
  <si>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</si>
  <si>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</si>
  <si>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</si>
  <si>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</si>
  <si>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</si>
  <si>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</si>
  <si>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</si>
  <si>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</si>
  <si>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</si>
  <si>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</si>
  <si>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</si>
  <si>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</si>
  <si>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</si>
  <si>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</si>
  <si>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</si>
  <si>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</si>
  <si>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</si>
  <si>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</si>
  <si>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</si>
  <si>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</si>
  <si>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</si>
  <si>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</si>
  <si>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</si>
  <si>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</si>
  <si>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</si>
  <si>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</si>
  <si>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</si>
  <si>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</si>
  <si>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</si>
  <si>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</si>
  <si>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</si>
  <si>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</si>
  <si>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</si>
  <si>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</si>
  <si>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</si>
  <si>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</si>
  <si>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</si>
  <si>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</si>
  <si>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</si>
  <si>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</si>
  <si>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</si>
  <si>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</si>
  <si>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</si>
  <si>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</si>
  <si>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</si>
  <si>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</si>
  <si>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</si>
  <si>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</si>
  <si>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</si>
  <si>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</si>
  <si>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</si>
  <si>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</si>
  <si>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</si>
  <si>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</si>
  <si>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</si>
  <si>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</si>
  <si>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</si>
  <si>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</si>
  <si>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</si>
  <si>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</si>
  <si>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</si>
  <si>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</si>
  <si>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</si>
  <si>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</si>
  <si>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</si>
  <si>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</si>
  <si>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</si>
  <si>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</si>
  <si>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</si>
  <si>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</si>
  <si>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</si>
  <si>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</si>
  <si>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</si>
  <si>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</si>
  <si>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</si>
  <si>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</si>
  <si>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</si>
  <si>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</si>
  <si>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</si>
  <si>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</si>
  <si>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</si>
  <si>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</si>
  <si>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</si>
  <si>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</si>
  <si>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</si>
  <si>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</si>
  <si>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</si>
  <si>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</si>
  <si>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</si>
  <si>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</si>
  <si>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</si>
  <si>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</si>
  <si>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</si>
  <si>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</si>
  <si>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</si>
  <si>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</si>
  <si>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</si>
  <si>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</si>
  <si>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</si>
  <si>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</si>
  <si>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</si>
  <si>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</si>
  <si>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</si>
  <si>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</si>
  <si>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</si>
  <si>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</si>
  <si>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</si>
  <si>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</si>
  <si>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</si>
  <si>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</si>
  <si>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</si>
  <si>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</si>
  <si>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</si>
  <si>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</si>
  <si>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</si>
  <si>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</si>
  <si>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</si>
  <si>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</si>
  <si>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</si>
  <si>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</si>
  <si>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</si>
  <si>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</si>
  <si>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</si>
  <si>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</si>
  <si>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</si>
  <si>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</si>
  <si>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</si>
  <si>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</si>
  <si>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</si>
  <si>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</si>
  <si>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</si>
  <si>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</si>
  <si>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</si>
  <si>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</si>
  <si>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</si>
  <si>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</si>
  <si>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</si>
  <si>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</si>
  <si>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</si>
  <si>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</si>
  <si>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</si>
  <si>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</si>
  <si>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</si>
  <si>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</si>
  <si>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</si>
  <si>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</si>
  <si>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</si>
  <si>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</si>
  <si>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</si>
  <si>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</si>
  <si>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</si>
  <si>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</si>
  <si>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</si>
  <si>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</si>
  <si>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</si>
  <si>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</si>
  <si>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</si>
  <si>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</si>
  <si>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</si>
  <si>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</si>
  <si>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</si>
  <si>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</si>
  <si>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</si>
  <si>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</si>
  <si>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</si>
  <si>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</si>
  <si>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</si>
  <si>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</si>
  <si>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</si>
  <si>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</si>
  <si>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</si>
  <si>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</si>
  <si>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</si>
  <si>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</si>
  <si>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</si>
  <si>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</si>
  <si>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</si>
  <si>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</si>
  <si>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</si>
  <si>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</si>
  <si>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</si>
  <si>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</si>
  <si>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</si>
  <si>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</si>
  <si>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</si>
  <si>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</si>
  <si>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</si>
  <si>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</si>
  <si>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</si>
  <si>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</si>
  <si>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</si>
  <si>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</si>
  <si>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</si>
  <si>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</si>
  <si>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</si>
  <si>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</si>
  <si>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</si>
  <si>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</si>
  <si>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</si>
  <si>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</si>
  <si>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</si>
  <si>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</si>
  <si>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</si>
  <si>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</si>
  <si>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</si>
  <si>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</si>
  <si>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</si>
  <si>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</si>
  <si>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</si>
  <si>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</si>
  <si>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</si>
  <si>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</si>
  <si>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</si>
  <si>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</si>
  <si>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</si>
  <si>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</si>
  <si>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</si>
  <si>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</si>
  <si>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</si>
  <si>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</si>
  <si>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</si>
  <si>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</si>
  <si>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</si>
  <si>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</si>
  <si>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</si>
  <si>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</si>
  <si>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</si>
  <si>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</si>
  <si>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</si>
  <si>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</si>
  <si>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</si>
  <si>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</si>
  <si>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</si>
  <si>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</si>
  <si>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</si>
  <si>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</si>
  <si>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</si>
  <si>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</si>
  <si>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</si>
  <si>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</si>
  <si>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</si>
  <si>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</si>
  <si>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</si>
  <si>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</si>
  <si>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</si>
  <si>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</si>
  <si>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</si>
  <si>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</si>
  <si>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</si>
  <si>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</si>
  <si>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</si>
  <si>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</si>
  <si>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</si>
  <si>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</si>
  <si>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</si>
  <si>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</si>
  <si>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</si>
  <si>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</si>
  <si>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</si>
  <si>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</si>
  <si>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</si>
  <si>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</si>
  <si>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</si>
  <si>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</si>
  <si>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</si>
  <si>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</si>
  <si>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</si>
  <si>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</si>
  <si>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</si>
  <si>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</si>
  <si>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</si>
  <si>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</si>
  <si>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</si>
  <si>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</si>
  <si>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</si>
  <si>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</si>
  <si>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</si>
  <si>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</si>
  <si>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</si>
  <si>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</si>
  <si>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</si>
  <si>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</si>
  <si>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</si>
  <si>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</si>
  <si>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</si>
  <si>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</si>
  <si>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</si>
  <si>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</si>
  <si>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</si>
  <si>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</si>
  <si>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</si>
  <si>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</si>
  <si>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</si>
  <si>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</si>
  <si>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</si>
  <si>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</si>
  <si>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</si>
  <si>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</si>
  <si>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</si>
  <si>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</si>
  <si>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</si>
  <si>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</si>
  <si>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</si>
  <si>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</si>
  <si>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</si>
  <si>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</si>
  <si>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</si>
  <si>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</si>
  <si>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</si>
  <si>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</si>
  <si>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</si>
  <si>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</si>
  <si>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</si>
  <si>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</si>
  <si>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</si>
  <si>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</si>
  <si>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</si>
  <si>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www.marike.ru</t>
  </si>
  <si>
    <t>https://portal.eias.ru/Portal/DownloadPage.aspx?type=12&amp;guid=53396a6f-98bb-49b9-aad2-d28499998a72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</si>
  <si>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</si>
  <si>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1. Правоустанавливающие документы на земельный участок, подключаемый объект (при наличии);
2. Ситуационный план расположения подключаемого объекта с привязкой к территории населенного пункта или элементам в схеме теплоснабжения;
3. Топографическая карта земельного участка в масштабе 1:500 (для квартальной застройки 1:2000) с указанием всех наземных и подземных коммуникаций и сооружений (для юридических лиц и ИП).
4. Документы, подтверждающие полномочия лица, действующего от имени заявителя;
5. Копии учредительных документов (для юридических лиц);</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</si>
  <si>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</si>
  <si>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05.07.2018 года № 787 "Правила о подключении (технологическом присоединении) к системам теплоснабжения, недискриминационном доступе к услугам в сфере теплоснабжения</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</si>
  <si>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</si>
  <si>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</si>
  <si>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8(8362)72-37-78</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</si>
  <si>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</si>
  <si>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</si>
  <si>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</si>
  <si>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</si>
  <si>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</si>
  <si>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</si>
  <si>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</si>
  <si>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</si>
  <si>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</si>
  <si>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</si>
  <si>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</si>
  <si>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</si>
  <si>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</si>
  <si>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</si>
  <si>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</si>
  <si>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</si>
  <si>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</si>
  <si>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</si>
  <si>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</si>
  <si>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</si>
  <si>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</si>
  <si>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</si>
  <si>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</si>
  <si>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</si>
  <si>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</si>
  <si>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</si>
  <si>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</si>
  <si>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</si>
  <si>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</si>
  <si>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</si>
  <si>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</si>
  <si>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</si>
  <si>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</si>
  <si>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</si>
  <si>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</si>
  <si>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</si>
  <si>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</si>
  <si>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</si>
  <si>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</si>
  <si>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</si>
  <si>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</si>
  <si>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</si>
  <si>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</si>
  <si>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</si>
  <si>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</si>
  <si>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</si>
  <si>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</si>
  <si>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</si>
  <si>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</si>
  <si>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</si>
  <si>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</si>
  <si>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</si>
  <si>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</si>
  <si>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</si>
  <si>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</si>
  <si>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</si>
  <si>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</si>
  <si>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</si>
  <si>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</si>
  <si>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</si>
  <si>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</si>
  <si>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</si>
  <si>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</si>
  <si>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</si>
  <si>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</si>
  <si>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</si>
  <si>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</si>
  <si>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</si>
  <si>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</si>
  <si>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</si>
  <si>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</si>
  <si>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</si>
  <si>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</si>
  <si>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</si>
  <si>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</si>
  <si>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</si>
  <si>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</si>
  <si>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</si>
  <si>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</si>
  <si>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</si>
  <si>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</si>
  <si>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</si>
  <si>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</si>
  <si>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</si>
  <si>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</si>
  <si>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</si>
  <si>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</si>
  <si>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</si>
  <si>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</si>
  <si>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</si>
  <si>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</si>
  <si>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</si>
  <si>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</si>
  <si>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</si>
  <si>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</si>
  <si>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</si>
  <si>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</si>
  <si>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</si>
  <si>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</si>
  <si>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</si>
  <si>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</si>
  <si>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</si>
  <si>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</si>
  <si>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</si>
  <si>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</si>
  <si>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</si>
  <si>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</si>
  <si>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</si>
  <si>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</si>
  <si>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</si>
  <si>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</si>
  <si>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</si>
  <si>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</si>
  <si>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</si>
  <si>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</si>
  <si>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</si>
  <si>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</si>
  <si>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</si>
  <si>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</si>
  <si>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</si>
  <si>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</si>
  <si>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</si>
  <si>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</si>
  <si>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</si>
  <si>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</si>
  <si>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</si>
  <si>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</si>
  <si>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</si>
  <si>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</si>
  <si>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</si>
  <si>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</si>
  <si>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</si>
  <si>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</si>
  <si>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</si>
  <si>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</si>
  <si>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</si>
  <si>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</si>
  <si>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</si>
  <si>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</si>
  <si>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</si>
  <si>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</si>
  <si>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</si>
  <si>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</si>
  <si>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</si>
  <si>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</si>
  <si>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</si>
  <si>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</si>
  <si>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</si>
  <si>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</si>
  <si>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</si>
  <si>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</si>
  <si>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</si>
  <si>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</si>
  <si>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</si>
  <si>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</si>
  <si>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</si>
  <si>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</si>
  <si>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</si>
  <si>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</si>
  <si>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</si>
  <si>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</si>
  <si>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</si>
  <si>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</si>
  <si>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</si>
  <si>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</si>
  <si>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</si>
  <si>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</si>
  <si>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</si>
  <si>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</si>
  <si>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</si>
  <si>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</si>
  <si>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</si>
  <si>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</si>
  <si>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</si>
  <si>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</si>
  <si>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</si>
  <si>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</si>
  <si>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</si>
  <si>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</si>
  <si>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</si>
  <si>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</si>
  <si>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</si>
  <si>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</si>
  <si>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</si>
  <si>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</si>
  <si>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</si>
  <si>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</si>
  <si>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</si>
  <si>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</si>
  <si>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</si>
  <si>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</si>
  <si>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</si>
  <si>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</si>
  <si>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</si>
  <si>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</si>
  <si>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</si>
  <si>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</si>
  <si>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</si>
  <si>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</si>
  <si>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</si>
  <si>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</si>
  <si>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</si>
  <si>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</si>
  <si>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</si>
  <si>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</si>
  <si>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</si>
  <si>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</si>
  <si>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</si>
  <si>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</si>
  <si>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</si>
  <si>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</si>
  <si>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</si>
  <si>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</si>
  <si>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</si>
  <si>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</si>
  <si>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</si>
  <si>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</si>
  <si>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</si>
  <si>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</si>
  <si>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</si>
  <si>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</si>
  <si>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</si>
  <si>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</si>
  <si>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</si>
  <si>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</si>
  <si>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</si>
  <si>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</si>
  <si>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</si>
  <si>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</si>
  <si>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</si>
  <si>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</si>
  <si>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</si>
  <si>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</si>
  <si>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</si>
  <si>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</si>
  <si>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</si>
  <si>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</si>
  <si>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</si>
  <si>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</si>
  <si>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</si>
  <si>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</si>
  <si>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</si>
  <si>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</si>
  <si>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</si>
  <si>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</si>
  <si>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</si>
  <si>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</si>
  <si>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</si>
  <si>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</si>
  <si>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</si>
  <si>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</si>
  <si>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</si>
  <si>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</si>
  <si>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</si>
  <si>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</si>
  <si>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</si>
  <si>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</si>
  <si>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</si>
  <si>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</si>
  <si>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</si>
  <si>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</si>
  <si>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</si>
  <si>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</si>
  <si>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</si>
  <si>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</si>
  <si>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</si>
  <si>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</si>
  <si>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</si>
  <si>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</si>
  <si>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</si>
  <si>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</si>
  <si>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</si>
  <si>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</si>
  <si>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</si>
  <si>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</si>
  <si>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</si>
  <si>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</si>
  <si>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</si>
  <si>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</si>
  <si>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</si>
  <si>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</si>
  <si>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</si>
  <si>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</si>
  <si>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</si>
  <si>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</si>
  <si>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</si>
  <si>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</si>
  <si>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</si>
  <si>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</si>
  <si>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</si>
  <si>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</si>
  <si>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</si>
  <si>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</si>
  <si>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</si>
  <si>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</si>
  <si>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</si>
  <si>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</si>
  <si>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</si>
  <si>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</si>
  <si>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</si>
  <si>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</si>
  <si>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</si>
  <si>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</si>
  <si>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</si>
  <si>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</si>
  <si>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</si>
  <si>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</si>
  <si>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</si>
  <si>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</si>
  <si>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</si>
  <si>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</si>
  <si>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</si>
  <si>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</si>
  <si>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</si>
  <si>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</si>
  <si>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</si>
  <si>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</si>
  <si>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</si>
  <si>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</si>
  <si>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</si>
  <si>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</si>
  <si>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</si>
  <si>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</si>
  <si>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</si>
  <si>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</si>
  <si>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</si>
  <si>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</si>
  <si>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</si>
  <si>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</si>
  <si>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</si>
  <si>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</si>
  <si>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</si>
  <si>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</si>
  <si>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</si>
  <si>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</si>
  <si>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</si>
  <si>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</si>
  <si>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</si>
  <si>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</si>
  <si>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</si>
  <si>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</si>
  <si>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</si>
  <si>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</si>
  <si>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</si>
  <si>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</si>
  <si>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</si>
  <si>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</si>
  <si>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</si>
  <si>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</si>
  <si>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</si>
  <si>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</si>
  <si>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</si>
  <si>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</si>
  <si>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</si>
  <si>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</si>
  <si>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</si>
  <si>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</si>
  <si>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</si>
  <si>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</si>
  <si>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</si>
  <si>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</si>
  <si>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</si>
  <si>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</si>
  <si>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</si>
  <si>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</si>
  <si>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</si>
  <si>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</si>
  <si>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</si>
  <si>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</si>
  <si>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</si>
  <si>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</si>
  <si>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</si>
  <si>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</si>
  <si>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</si>
  <si>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</si>
  <si>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</si>
  <si>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</si>
  <si>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</si>
  <si>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</si>
  <si>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</si>
  <si>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</si>
  <si>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</si>
  <si>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</si>
  <si>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</si>
  <si>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</si>
  <si>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</si>
  <si>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</si>
  <si>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</si>
  <si>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</si>
  <si>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</si>
  <si>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</si>
  <si>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</si>
  <si>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</si>
  <si>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</si>
  <si>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</si>
  <si>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</si>
  <si>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</si>
  <si>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</si>
  <si>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</si>
  <si>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</si>
  <si>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</si>
  <si>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</si>
  <si>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</si>
  <si>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</si>
  <si>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</si>
  <si>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</si>
  <si>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</si>
  <si>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</si>
  <si>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</si>
  <si>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</si>
  <si>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</si>
  <si>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</si>
  <si>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</si>
  <si>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</si>
  <si>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</si>
  <si>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</si>
  <si>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</si>
  <si>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</si>
  <si>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</si>
  <si>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</si>
  <si>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</si>
  <si>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</si>
  <si>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</si>
  <si>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</si>
  <si>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</si>
  <si>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</si>
  <si>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</si>
  <si>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</si>
  <si>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</si>
  <si>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</si>
  <si>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</si>
  <si>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</si>
  <si>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</si>
  <si>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</si>
  <si>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</si>
  <si>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</si>
  <si>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</si>
  <si>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</si>
  <si>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</si>
  <si>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</si>
  <si>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</si>
  <si>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</si>
  <si>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</si>
  <si>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</si>
  <si>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</si>
  <si>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</si>
  <si>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</si>
  <si>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</si>
  <si>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</si>
  <si>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</si>
  <si>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</si>
  <si>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</si>
  <si>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</si>
  <si>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</si>
  <si>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</si>
  <si>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</si>
  <si>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</si>
  <si>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</si>
  <si>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</si>
  <si>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</si>
  <si>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</si>
  <si>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</si>
  <si>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</si>
  <si>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</si>
  <si>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</si>
  <si>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</si>
  <si>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</si>
  <si>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</si>
  <si>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</si>
  <si>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</si>
  <si>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</si>
  <si>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</si>
  <si>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</si>
  <si>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</si>
  <si>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</si>
  <si>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</si>
  <si>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</si>
  <si>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</si>
  <si>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</si>
  <si>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</si>
  <si>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</si>
  <si>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</si>
  <si>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</si>
  <si>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</si>
  <si>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</si>
  <si>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</si>
  <si>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</si>
  <si>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</si>
  <si>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</si>
  <si>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</si>
  <si>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</si>
  <si>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</si>
  <si>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</si>
  <si>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</si>
  <si>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</si>
  <si>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</si>
  <si>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</si>
  <si>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</si>
  <si>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</si>
  <si>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</si>
  <si>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</si>
  <si>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</si>
  <si>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</si>
  <si>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</si>
  <si>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</si>
  <si>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</si>
  <si>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</si>
  <si>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</si>
  <si>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</si>
  <si>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</si>
  <si>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</si>
  <si>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</si>
  <si>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</si>
  <si>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</si>
  <si>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</si>
  <si>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</si>
  <si>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</si>
  <si>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</si>
  <si>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</si>
  <si>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</si>
  <si>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</si>
  <si>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</si>
  <si>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</si>
  <si>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</si>
  <si>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</si>
  <si>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</si>
  <si>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</si>
  <si>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</si>
  <si>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</si>
  <si>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</si>
  <si>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</si>
  <si>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</si>
  <si>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</si>
  <si>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</si>
  <si>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</si>
  <si>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</si>
  <si>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</si>
  <si>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</si>
  <si>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</si>
  <si>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</si>
  <si>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</si>
  <si>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</si>
  <si>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</si>
  <si>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</si>
  <si>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</si>
  <si>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</si>
  <si>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</si>
  <si>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</si>
  <si>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</si>
  <si>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</si>
  <si>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</si>
  <si>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</si>
  <si>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</si>
  <si>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</si>
  <si>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</si>
  <si>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</si>
  <si>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</si>
  <si>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</si>
  <si>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</si>
  <si>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</si>
  <si>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</si>
  <si>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</si>
  <si>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</si>
  <si>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</si>
  <si>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</si>
  <si>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</si>
  <si>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</si>
  <si>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</si>
  <si>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</si>
  <si>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</si>
  <si>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</si>
  <si>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</si>
  <si>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</si>
  <si>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</si>
  <si>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</si>
  <si>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</si>
  <si>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</si>
  <si>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</si>
  <si>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</si>
  <si>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</si>
  <si>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</si>
  <si>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</si>
  <si>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</si>
  <si>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</si>
  <si>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</si>
  <si>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</si>
  <si>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</si>
  <si>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</si>
  <si>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</si>
  <si>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</si>
  <si>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</si>
  <si>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</si>
  <si>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</si>
  <si>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</si>
  <si>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</si>
  <si>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</si>
  <si>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</si>
  <si>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</si>
  <si>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</si>
  <si>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</si>
  <si>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</si>
  <si>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</si>
  <si>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</si>
  <si>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</si>
  <si>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</si>
  <si>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</si>
  <si>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</si>
  <si>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</si>
  <si>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</si>
  <si>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</si>
  <si>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</si>
  <si>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</si>
  <si>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</si>
  <si>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</si>
  <si>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</si>
  <si>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</si>
  <si>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</si>
  <si>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</si>
  <si>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</si>
  <si>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</si>
  <si>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</si>
  <si>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</si>
  <si>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</si>
  <si>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</si>
  <si>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</si>
  <si>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</si>
  <si>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</si>
  <si>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</si>
  <si>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</si>
  <si>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</si>
  <si>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</si>
  <si>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</si>
  <si>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</si>
  <si>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</si>
  <si>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</si>
  <si>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</si>
  <si>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</si>
  <si>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</si>
  <si>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</si>
  <si>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</si>
  <si>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</si>
  <si>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</si>
  <si>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</si>
  <si>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</si>
  <si>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</si>
  <si>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</si>
  <si>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</si>
  <si>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</si>
  <si>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</si>
  <si>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</si>
  <si>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</si>
  <si>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</si>
  <si>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</si>
  <si>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</si>
  <si>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</si>
  <si>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</si>
  <si>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</si>
  <si>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</si>
  <si>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</si>
  <si>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</si>
  <si>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</si>
  <si>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</si>
  <si>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</si>
  <si>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</si>
  <si>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</si>
  <si>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</si>
  <si>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</si>
  <si>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</si>
  <si>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</si>
  <si>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</si>
  <si>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</si>
  <si>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</si>
  <si>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</si>
  <si>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</si>
  <si>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</si>
  <si>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</si>
  <si>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</si>
  <si>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</si>
  <si>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</si>
  <si>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</si>
  <si>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</si>
  <si>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</si>
  <si>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</si>
  <si>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</si>
  <si>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</si>
  <si>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</si>
  <si>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</si>
  <si>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</si>
  <si>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</si>
  <si>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</si>
  <si>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</si>
  <si>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</si>
  <si>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</si>
  <si>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</si>
  <si>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</si>
  <si>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</si>
  <si>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</si>
  <si>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</si>
  <si>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</si>
  <si>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</si>
  <si>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</si>
  <si>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</si>
  <si>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</si>
  <si>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</si>
  <si>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</si>
  <si>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</si>
  <si>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</si>
  <si>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</si>
  <si>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</si>
  <si>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</si>
  <si>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</si>
  <si>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</si>
  <si>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</si>
  <si>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</si>
  <si>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</si>
  <si>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</si>
  <si>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</si>
  <si>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</si>
  <si>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</si>
  <si>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</si>
  <si>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</si>
  <si>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</si>
  <si>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</si>
  <si>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</si>
  <si>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</si>
  <si>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</si>
  <si>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</si>
  <si>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</si>
  <si>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</si>
  <si>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</si>
  <si>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</si>
  <si>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</si>
  <si>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</si>
  <si>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</si>
  <si>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</si>
  <si>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</si>
  <si>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</si>
  <si>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</si>
  <si>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</si>
  <si>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</si>
  <si>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</si>
  <si>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</si>
  <si>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</si>
  <si>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</si>
  <si>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</si>
  <si>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</si>
  <si>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</si>
  <si>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</si>
  <si>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</si>
  <si>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</si>
  <si>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</si>
  <si>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</si>
  <si>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</si>
  <si>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</si>
  <si>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</si>
  <si>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</si>
  <si>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</si>
  <si>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</si>
  <si>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</si>
  <si>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</si>
  <si>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</si>
  <si>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</si>
  <si>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</si>
  <si>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</si>
  <si>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</si>
  <si>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</si>
  <si>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</si>
  <si>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</si>
  <si>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</si>
  <si>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</si>
  <si>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</si>
  <si>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</si>
  <si>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</si>
  <si>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</si>
  <si>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</si>
  <si>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</si>
  <si>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</si>
  <si>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</si>
  <si>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</si>
  <si>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</si>
  <si>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</si>
  <si>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</si>
  <si>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</si>
  <si>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</si>
  <si>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</si>
  <si>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</si>
  <si>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</si>
  <si>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</si>
  <si>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</si>
  <si>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</si>
  <si>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</si>
  <si>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</si>
  <si>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</si>
  <si>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</si>
  <si>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</si>
  <si>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</si>
  <si>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</si>
  <si>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</si>
  <si>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</si>
  <si>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</si>
  <si>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</si>
  <si>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</si>
  <si>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</si>
  <si>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</si>
  <si>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</si>
  <si>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</si>
  <si>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</si>
  <si>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</si>
  <si>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</si>
  <si>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</si>
  <si>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</si>
  <si>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</si>
  <si>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</si>
  <si>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</si>
  <si>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</si>
  <si>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</si>
  <si>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</si>
  <si>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</si>
  <si>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</si>
  <si>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</si>
  <si>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</si>
  <si>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</si>
  <si>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</si>
  <si>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</si>
  <si>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</si>
  <si>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</si>
  <si>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</si>
  <si>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</si>
  <si>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</si>
  <si>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</si>
  <si>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</si>
  <si>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</si>
  <si>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</si>
  <si>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</si>
  <si>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</si>
  <si>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</si>
  <si>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</si>
  <si>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</si>
  <si>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</si>
  <si>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</si>
  <si>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</si>
  <si>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</si>
  <si>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</si>
  <si>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</si>
  <si>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</si>
  <si>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</si>
  <si>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</si>
  <si>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</si>
  <si>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</si>
  <si>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</si>
  <si>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</si>
  <si>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</si>
  <si>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</si>
  <si>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</si>
  <si>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</si>
  <si>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</si>
  <si>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</si>
  <si>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</si>
  <si>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</si>
  <si>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</si>
  <si>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</si>
  <si>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</si>
  <si>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</si>
  <si>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</si>
  <si>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</si>
  <si>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</si>
  <si>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</si>
  <si>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</si>
  <si>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</si>
  <si>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</si>
  <si>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</si>
  <si>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</si>
  <si>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</si>
  <si>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</si>
  <si>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</si>
  <si>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</si>
  <si>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</si>
  <si>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</si>
  <si>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</si>
  <si>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</si>
  <si>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</si>
  <si>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</si>
  <si>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</si>
  <si>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</si>
  <si>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</si>
  <si>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</si>
  <si>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</si>
  <si>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</si>
  <si>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</si>
  <si>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</si>
  <si>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</si>
  <si>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</si>
  <si>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</si>
  <si>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</si>
  <si>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</si>
  <si>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</si>
  <si>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</si>
  <si>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</si>
  <si>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</si>
  <si>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</si>
  <si>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</si>
  <si>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</si>
  <si>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</si>
  <si>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</si>
  <si>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</si>
  <si>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</si>
  <si>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</si>
  <si>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</si>
  <si>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</si>
  <si>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</si>
  <si>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</si>
  <si>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</si>
  <si>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</si>
  <si>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</si>
  <si>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</si>
  <si>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</si>
  <si>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</si>
  <si>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</si>
  <si>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</si>
  <si>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</si>
  <si>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</si>
  <si>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</si>
  <si>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</si>
  <si>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</si>
  <si>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</si>
  <si>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</si>
  <si>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</si>
  <si>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</si>
  <si>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</si>
  <si>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</si>
  <si>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</si>
  <si>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</si>
  <si>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</si>
  <si>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</si>
  <si>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</si>
  <si>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</si>
  <si>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</si>
  <si>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</si>
  <si>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</si>
  <si>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</si>
  <si>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</si>
  <si>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</si>
  <si>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</si>
  <si>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</si>
  <si>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</si>
  <si>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</si>
  <si>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</si>
  <si>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</si>
  <si>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</si>
  <si>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</si>
  <si>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</si>
  <si>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</si>
  <si>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</si>
  <si>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</si>
  <si>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</si>
  <si>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</si>
  <si>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</si>
  <si>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</si>
  <si>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</si>
  <si>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</si>
  <si>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</si>
  <si>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</si>
  <si>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</si>
  <si>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</si>
  <si>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</si>
  <si>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</si>
  <si>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</si>
  <si>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</si>
  <si>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</si>
  <si>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</si>
  <si>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</si>
  <si>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</si>
  <si>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</si>
  <si>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</si>
  <si>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</si>
  <si>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</si>
  <si>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</si>
  <si>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</si>
  <si>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</si>
  <si>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</si>
  <si>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</si>
  <si>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</si>
  <si>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</si>
  <si>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</si>
  <si>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</si>
  <si>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</si>
  <si>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</si>
  <si>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</si>
  <si>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</si>
  <si>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</si>
  <si>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</si>
  <si>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</si>
  <si>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</si>
  <si>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</si>
  <si>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</si>
  <si>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</si>
  <si>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</si>
  <si>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</si>
  <si>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</si>
  <si>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</si>
  <si>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</si>
  <si>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</si>
  <si>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</si>
  <si>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</si>
  <si>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</si>
  <si>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</si>
  <si>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</si>
  <si>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</si>
  <si>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</si>
  <si>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</si>
  <si>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</si>
  <si>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</si>
  <si>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</si>
  <si>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</si>
  <si>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</si>
  <si>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</si>
  <si>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</si>
  <si>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</si>
  <si>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</si>
  <si>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</si>
  <si>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</si>
  <si>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</si>
  <si>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</si>
  <si>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</si>
  <si>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</si>
  <si>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</si>
  <si>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</si>
  <si>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</si>
  <si>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</si>
  <si>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</si>
  <si>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</si>
  <si>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</si>
  <si>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</si>
  <si>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</si>
  <si>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</si>
  <si>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</si>
  <si>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</si>
  <si>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</si>
  <si>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</si>
  <si>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</si>
  <si>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</si>
  <si>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</si>
  <si>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</si>
  <si>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</si>
  <si>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</si>
  <si>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</si>
  <si>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</si>
  <si>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</si>
  <si>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</si>
  <si>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</si>
  <si>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</si>
  <si>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</si>
  <si>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</si>
  <si>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</si>
  <si>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</si>
  <si>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</si>
  <si>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</si>
  <si>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</si>
  <si>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</si>
  <si>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</si>
  <si>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</si>
  <si>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</si>
  <si>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</si>
  <si>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</si>
  <si>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</si>
  <si>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</si>
  <si>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</si>
  <si>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</si>
  <si>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</si>
  <si>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</si>
  <si>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</si>
  <si>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</si>
  <si>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</si>
  <si>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</si>
  <si>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</si>
  <si>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</si>
  <si>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</si>
  <si>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</si>
  <si>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</si>
  <si>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</si>
  <si>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</si>
  <si>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</si>
  <si>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</si>
  <si>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</si>
  <si>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</si>
  <si>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</si>
  <si>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</si>
  <si>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</si>
  <si>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</si>
  <si>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</si>
  <si>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</si>
  <si>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</si>
  <si>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</si>
  <si>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</si>
  <si>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</si>
  <si>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</si>
  <si>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</si>
  <si>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</si>
  <si>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</si>
  <si>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</si>
  <si>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</si>
  <si>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</si>
  <si>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</si>
  <si>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</si>
  <si>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</si>
  <si>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</si>
  <si>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</si>
  <si>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</si>
  <si>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</si>
  <si>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</si>
  <si>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</si>
  <si>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</si>
  <si>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</si>
  <si>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</si>
  <si>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</si>
  <si>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</si>
  <si>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</si>
  <si>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2629</t>
  </si>
  <si>
    <t>30791606</t>
  </si>
  <si>
    <t>АО "ГУ ЖКХ"</t>
  </si>
  <si>
    <t>5116000922</t>
  </si>
  <si>
    <t>166045001</t>
  </si>
  <si>
    <t>30335229</t>
  </si>
  <si>
    <t>770401001</t>
  </si>
  <si>
    <t>27681548</t>
  </si>
  <si>
    <t>АО "Деревообрабатывающий завод"</t>
  </si>
  <si>
    <t>1215013266</t>
  </si>
  <si>
    <t>26354131</t>
  </si>
  <si>
    <t>АО "Марийский машиностроительный завод" п. Луговой</t>
  </si>
  <si>
    <t>1200001885</t>
  </si>
  <si>
    <t>121550001</t>
  </si>
  <si>
    <t>26608465</t>
  </si>
  <si>
    <t>ГУП РМЭ "Лечебно-оздоровительный комплекс "Лесная сказка"</t>
  </si>
  <si>
    <t>1215042186</t>
  </si>
  <si>
    <t>18-01-2023 00:00:00</t>
  </si>
  <si>
    <t>28053908</t>
  </si>
  <si>
    <t>ГУП РМЭ "Оздоровительный комплекс Шап"</t>
  </si>
  <si>
    <t>1207010230</t>
  </si>
  <si>
    <t>120701001</t>
  </si>
  <si>
    <t>26354137</t>
  </si>
  <si>
    <t>ГУП РМЭ "Санаторий "Сосновый бор"</t>
  </si>
  <si>
    <t>1215021563</t>
  </si>
  <si>
    <t>26-08-1998 00:00:00</t>
  </si>
  <si>
    <t>12-12-2023 00:00:00</t>
  </si>
  <si>
    <t>МИНИСТЕРСТВО ПРОМЫШЛЕННОСТИ, ЭКОНОМИЧЕСКОГО РАЗВИТИЯ И ТОРГОВЛИ РЕСПУБЛИКИ МАРИЙ ЭЛ</t>
  </si>
  <si>
    <t>1215107796</t>
  </si>
  <si>
    <t>26354111</t>
  </si>
  <si>
    <t>МКП "Тепловые сети" Волжского муниципального района</t>
  </si>
  <si>
    <t>1201004423</t>
  </si>
  <si>
    <t>120101001</t>
  </si>
  <si>
    <t>06-02-2006 00:00:00</t>
  </si>
  <si>
    <t>31196260</t>
  </si>
  <si>
    <t>МКУП городского поселения Советский "Спектр"</t>
  </si>
  <si>
    <t>1213005291</t>
  </si>
  <si>
    <t>121301001</t>
  </si>
  <si>
    <t>26429817</t>
  </si>
  <si>
    <t>МП "Куженерводоканал"</t>
  </si>
  <si>
    <t>1205003413</t>
  </si>
  <si>
    <t>120501001</t>
  </si>
  <si>
    <t>06-10-2005 00:00:00</t>
  </si>
  <si>
    <t>26354135</t>
  </si>
  <si>
    <t>МП "Троллейбусный транспорт"</t>
  </si>
  <si>
    <t>1215015760</t>
  </si>
  <si>
    <t>21-06-2003 00:00:00</t>
  </si>
  <si>
    <t>31237473</t>
  </si>
  <si>
    <t>МУП "Горномарийский"</t>
  </si>
  <si>
    <t>1223000574</t>
  </si>
  <si>
    <t>122301001</t>
  </si>
  <si>
    <t>16-10-2018 00:00:00</t>
  </si>
  <si>
    <t>26354133</t>
  </si>
  <si>
    <t>МУП "Йошкар-Олинская ТЭЦ-1"</t>
  </si>
  <si>
    <t>1215011170</t>
  </si>
  <si>
    <t>02-05-2006 00:00:00</t>
  </si>
  <si>
    <t>26354125</t>
  </si>
  <si>
    <t>МУП "Оршанский жилкомсервис"</t>
  </si>
  <si>
    <t>1210003546</t>
  </si>
  <si>
    <t>121001001</t>
  </si>
  <si>
    <t>19-10-2006 00:00:00</t>
  </si>
  <si>
    <t>28966531</t>
  </si>
  <si>
    <t>МУП "ТеплоВодоканал" Килемарского муниципального района</t>
  </si>
  <si>
    <t>1204000106</t>
  </si>
  <si>
    <t>120401001</t>
  </si>
  <si>
    <t>26370675</t>
  </si>
  <si>
    <t>МУПКХ МО "Юринский район"</t>
  </si>
  <si>
    <t>1214000024</t>
  </si>
  <si>
    <t>121401001</t>
  </si>
  <si>
    <t>03-07-2003 00:00:00</t>
  </si>
  <si>
    <t>26354129</t>
  </si>
  <si>
    <t>ОАО "Марбиофарм"</t>
  </si>
  <si>
    <t>1215001662</t>
  </si>
  <si>
    <t>15-12-2002 00:00:00</t>
  </si>
  <si>
    <t>26354118</t>
  </si>
  <si>
    <t>ОАО "Марий Эл Дорстрой" Медведевский филиал</t>
  </si>
  <si>
    <t>1215154154</t>
  </si>
  <si>
    <t>04-09-1996 00:00:00</t>
  </si>
  <si>
    <t>26354106</t>
  </si>
  <si>
    <t>ОАО "Марийскавтодор"</t>
  </si>
  <si>
    <t>1215147005</t>
  </si>
  <si>
    <t>26416439</t>
  </si>
  <si>
    <t>ОАО "Марийский ЦБК"</t>
  </si>
  <si>
    <t>1216010765</t>
  </si>
  <si>
    <t>121601001</t>
  </si>
  <si>
    <t>09-10-2002 00:00:00</t>
  </si>
  <si>
    <t>26354136</t>
  </si>
  <si>
    <t>ОАО "Стройкерамика"</t>
  </si>
  <si>
    <t>1215017479</t>
  </si>
  <si>
    <t>27-06-2002 00:00:00</t>
  </si>
  <si>
    <t>28426349</t>
  </si>
  <si>
    <t>ООО "Автотест"</t>
  </si>
  <si>
    <t>1215108574</t>
  </si>
  <si>
    <t>28873113</t>
  </si>
  <si>
    <t>ООО "Атекс"</t>
  </si>
  <si>
    <t>1208007342</t>
  </si>
  <si>
    <t>120801001</t>
  </si>
  <si>
    <t>26370664</t>
  </si>
  <si>
    <t>ООО "ВодоканалCервис"</t>
  </si>
  <si>
    <t>1213005220</t>
  </si>
  <si>
    <t>15-10-2008 00:00:00</t>
  </si>
  <si>
    <t>31043736</t>
  </si>
  <si>
    <t>ООО "Газэнергосистемы"</t>
  </si>
  <si>
    <t>1215093952</t>
  </si>
  <si>
    <t>18-03-2004 00:00:00</t>
  </si>
  <si>
    <t>30385291</t>
  </si>
  <si>
    <t>ООО "ЖилКом-Сервис"</t>
  </si>
  <si>
    <t>1211004870</t>
  </si>
  <si>
    <t>121101001</t>
  </si>
  <si>
    <t>26433648</t>
  </si>
  <si>
    <t>ООО "Жилищный сервис"</t>
  </si>
  <si>
    <t>1206004441</t>
  </si>
  <si>
    <t>120601001</t>
  </si>
  <si>
    <t>08-12-2005 00:00:00</t>
  </si>
  <si>
    <t>27900079</t>
  </si>
  <si>
    <t>ООО "МТсК"</t>
  </si>
  <si>
    <t>1215165477</t>
  </si>
  <si>
    <t>19-07-2012 00:00:00</t>
  </si>
  <si>
    <t>26354151</t>
  </si>
  <si>
    <t>09-11-2007 00:00:00</t>
  </si>
  <si>
    <t>26653859</t>
  </si>
  <si>
    <t>ООО "Моркинский ТеплоЭнергоСервис"</t>
  </si>
  <si>
    <t>1208007399</t>
  </si>
  <si>
    <t>28040479</t>
  </si>
  <si>
    <t>ООО "Ресурс"</t>
  </si>
  <si>
    <t>1207014851</t>
  </si>
  <si>
    <t>30811204</t>
  </si>
  <si>
    <t>ООО "Ресурс-1"</t>
  </si>
  <si>
    <t>1207021231</t>
  </si>
  <si>
    <t>26516262</t>
  </si>
  <si>
    <t>ООО "Сантехремонт"</t>
  </si>
  <si>
    <t>1209005281</t>
  </si>
  <si>
    <t>120901001</t>
  </si>
  <si>
    <t>02-02-2009 00:00:00</t>
  </si>
  <si>
    <t>26354145</t>
  </si>
  <si>
    <t>ООО "Стройтерм"</t>
  </si>
  <si>
    <t>1215065970</t>
  </si>
  <si>
    <t>31210441</t>
  </si>
  <si>
    <t>ООО "ТеплоЭнерго"</t>
  </si>
  <si>
    <t>1218001484</t>
  </si>
  <si>
    <t>121801001</t>
  </si>
  <si>
    <t>06-12-2017 00:00:00</t>
  </si>
  <si>
    <t>28465093</t>
  </si>
  <si>
    <t>ООО Домоуправление-11</t>
  </si>
  <si>
    <t>1215131654</t>
  </si>
  <si>
    <t>26653830</t>
  </si>
  <si>
    <t>ООО Завод СтройМатериалов "ВнешЭкономИнвест"</t>
  </si>
  <si>
    <t>1217005084</t>
  </si>
  <si>
    <t>121701001</t>
  </si>
  <si>
    <t>27261818</t>
  </si>
  <si>
    <t>ООО МУК "Жилкомсервис"</t>
  </si>
  <si>
    <t>1202004240</t>
  </si>
  <si>
    <t>30923106</t>
  </si>
  <si>
    <t>ООО НПФ "Энергетик"</t>
  </si>
  <si>
    <t>1215099986</t>
  </si>
  <si>
    <t>28-01-2005 00:00:00</t>
  </si>
  <si>
    <t>27264808</t>
  </si>
  <si>
    <t>ООО ПСО "Стройтепломонтаж"</t>
  </si>
  <si>
    <t>1207004388</t>
  </si>
  <si>
    <t>30436694</t>
  </si>
  <si>
    <t>ООО Хлебный дар</t>
  </si>
  <si>
    <t>1215130900</t>
  </si>
  <si>
    <t>31398008</t>
  </si>
  <si>
    <t>ООО фирма "Радан"</t>
  </si>
  <si>
    <t>1215006685</t>
  </si>
  <si>
    <t>28830489</t>
  </si>
  <si>
    <t>ПАО "Т плюс" Филиал « Марий Эл и Чувашии»</t>
  </si>
  <si>
    <t>6315376946</t>
  </si>
  <si>
    <t>213043001</t>
  </si>
  <si>
    <t>26354124</t>
  </si>
  <si>
    <t>ПК "Моркинская ПМК"</t>
  </si>
  <si>
    <t>1208001968</t>
  </si>
  <si>
    <t>21-09-2000 00:00:00</t>
  </si>
  <si>
    <t>26354127</t>
  </si>
  <si>
    <t>ПК "Советская ПМК"</t>
  </si>
  <si>
    <t>1213002702</t>
  </si>
  <si>
    <t>26354110</t>
  </si>
  <si>
    <t>Учреждение Санаторий "Кленовая гора"</t>
  </si>
  <si>
    <t>1201000450</t>
  </si>
  <si>
    <t>17-09-1999 00:00:00</t>
  </si>
  <si>
    <t>27568596</t>
  </si>
  <si>
    <t>ФБУ ИК-6 УФСИН России по РМЭ</t>
  </si>
  <si>
    <t>1215061478</t>
  </si>
  <si>
    <t>30903763</t>
  </si>
  <si>
    <t>ФГБУ "ЦЖКУ" МИНОБОРОНЫ РОССИИ</t>
  </si>
  <si>
    <t>7729314745</t>
  </si>
  <si>
    <t>770101001</t>
  </si>
  <si>
    <t>28426335</t>
  </si>
  <si>
    <t>ФГКУ "Авиационная база"</t>
  </si>
  <si>
    <t>1200001370</t>
  </si>
  <si>
    <t>26354107</t>
  </si>
  <si>
    <t>ФГКУ "Войсковая часть 95504"</t>
  </si>
  <si>
    <t>1200000715</t>
  </si>
  <si>
    <t>10-11-2002 00:00:00</t>
  </si>
  <si>
    <t>26419376</t>
  </si>
  <si>
    <t>ФКУ "База материально технического и военного снабжения УФСИН по Республике Марий Эл"</t>
  </si>
  <si>
    <t>1215079852</t>
  </si>
  <si>
    <t>07-02-2006 00:00:00</t>
  </si>
  <si>
    <t>31638247</t>
  </si>
  <si>
    <t>ФКУ "ИК-3 УФСИН России по Республике Марий Эл"</t>
  </si>
  <si>
    <t>1207000288</t>
  </si>
  <si>
    <t>11-06-1999 00:00:00</t>
  </si>
  <si>
    <t>31638522</t>
  </si>
  <si>
    <t>ФКУ "КП-7 УФСИН России по Республике Марий Эл"</t>
  </si>
  <si>
    <t>1215056037</t>
  </si>
  <si>
    <t>30-04-2021 00:00:00</t>
  </si>
  <si>
    <t>26373663</t>
  </si>
  <si>
    <t>Филиал ООО "Газпром трансгаз Нижний Новгород" - Волжское ЛПУМГ</t>
  </si>
  <si>
    <t>5260080007</t>
  </si>
  <si>
    <t>120102001</t>
  </si>
  <si>
    <t>30-06-1999 00:00:00</t>
  </si>
  <si>
    <t>30914574</t>
  </si>
  <si>
    <t>Филиал ФГБУ "ЦЖКУ" МИНОБОРОНЫ РОССИИ (по ЦВО)</t>
  </si>
  <si>
    <t>667043001</t>
  </si>
  <si>
    <t>28980669</t>
  </si>
  <si>
    <t>Публичное акционерное общество "Т Плюс", Красногорский район Московской области</t>
  </si>
  <si>
    <t>502401001</t>
  </si>
  <si>
    <t>08-07-2015 00:00:00</t>
  </si>
  <si>
    <t>26654196</t>
  </si>
  <si>
    <t>АО "Красногорский завод "Электродвигатель"</t>
  </si>
  <si>
    <t>1203003778</t>
  </si>
  <si>
    <t>120301001</t>
  </si>
  <si>
    <t>26370671</t>
  </si>
  <si>
    <t>Ассоциация водоснабженцев Параньгинского района  "Чистая вода"</t>
  </si>
  <si>
    <t>1211003644</t>
  </si>
  <si>
    <t>11-11-2005 00:00:00</t>
  </si>
  <si>
    <t>26811422</t>
  </si>
  <si>
    <t>ГБУ РМЭ "Кокшайский дом-интернат для престарелых и инвалидов"</t>
  </si>
  <si>
    <t>1215054946</t>
  </si>
  <si>
    <t>18-06-1997 00:00:00</t>
  </si>
  <si>
    <t>26580069</t>
  </si>
  <si>
    <t>ЗАО "Мари-Турексельхозхимия"</t>
  </si>
  <si>
    <t>1206000119</t>
  </si>
  <si>
    <t>05-07-1996 00:00:00</t>
  </si>
  <si>
    <t>26654233</t>
  </si>
  <si>
    <t>ЗАО "Ронгинское торфобрикетное предприятие"</t>
  </si>
  <si>
    <t>1213000046</t>
  </si>
  <si>
    <t>26654245</t>
  </si>
  <si>
    <t>ЗАО "Сердежское"</t>
  </si>
  <si>
    <t>1212003943</t>
  </si>
  <si>
    <t>121201001</t>
  </si>
  <si>
    <t>05-12-2003 00:00:00</t>
  </si>
  <si>
    <t>31310792</t>
  </si>
  <si>
    <t>МУП "АКВА-СЕРВИС"</t>
  </si>
  <si>
    <t>1225001083</t>
  </si>
  <si>
    <t>122501001</t>
  </si>
  <si>
    <t>21-03-2019 00:00:00</t>
  </si>
  <si>
    <t>31504096</t>
  </si>
  <si>
    <t>МУП "Водоканал Оршанка"</t>
  </si>
  <si>
    <t>1218003379</t>
  </si>
  <si>
    <t>08-04-2021 00:00:00</t>
  </si>
  <si>
    <t>26370649</t>
  </si>
  <si>
    <t>МУП "Водоканал"</t>
  </si>
  <si>
    <t>1201004448</t>
  </si>
  <si>
    <t>05-02-2006 00:00:00</t>
  </si>
  <si>
    <t>26370672</t>
  </si>
  <si>
    <t>1211003683</t>
  </si>
  <si>
    <t>26370678</t>
  </si>
  <si>
    <t>1215020390</t>
  </si>
  <si>
    <t>28-02-2008 00:00:00</t>
  </si>
  <si>
    <t>31193646</t>
  </si>
  <si>
    <t>1223000528</t>
  </si>
  <si>
    <t>30833974</t>
  </si>
  <si>
    <t>МУП "Водоканал" - Килемарский район</t>
  </si>
  <si>
    <t>1204003890</t>
  </si>
  <si>
    <t>28821368</t>
  </si>
  <si>
    <t>МУП "Водоканал" Мари - Турекского муниципального района</t>
  </si>
  <si>
    <t>1206005678</t>
  </si>
  <si>
    <t>31261760</t>
  </si>
  <si>
    <t>МУП "Водоканал" г.Звенигово""  МО "Городское поселение Звенигово"</t>
  </si>
  <si>
    <t>1225000918</t>
  </si>
  <si>
    <t>22-08-2018 00:00:00</t>
  </si>
  <si>
    <t>28058909</t>
  </si>
  <si>
    <t>МУП "Заря"</t>
  </si>
  <si>
    <t>1202008710</t>
  </si>
  <si>
    <t>27-07-2012 00:00:00</t>
  </si>
  <si>
    <t>26370669</t>
  </si>
  <si>
    <t>МУП "Новоторъяльский водоканал"</t>
  </si>
  <si>
    <t>1209004880</t>
  </si>
  <si>
    <t>30-10-2006 00:00:00</t>
  </si>
  <si>
    <t>28040294</t>
  </si>
  <si>
    <t>МУП "Родник"</t>
  </si>
  <si>
    <t>1202008759</t>
  </si>
  <si>
    <t>120201001</t>
  </si>
  <si>
    <t>10-10-2012 00:00:00</t>
  </si>
  <si>
    <t>26370673</t>
  </si>
  <si>
    <t>МУП "Сернурводоканал"</t>
  </si>
  <si>
    <t>1212003615</t>
  </si>
  <si>
    <t>16-07-2002 00:00:00</t>
  </si>
  <si>
    <t>26783310</t>
  </si>
  <si>
    <t>ОАО "Водоканал"</t>
  </si>
  <si>
    <t>1216020386</t>
  </si>
  <si>
    <t>31-12-2010 00:00:00</t>
  </si>
  <si>
    <t>26354121</t>
  </si>
  <si>
    <t>ОАО "Медведевский водоканал"</t>
  </si>
  <si>
    <t>1207011240</t>
  </si>
  <si>
    <t>12-01-2009 00:00:00</t>
  </si>
  <si>
    <t>31218553</t>
  </si>
  <si>
    <t>ООО ""МАРСЕЛЬХОЗАРТЕЛЬ"</t>
  </si>
  <si>
    <t>1206004145</t>
  </si>
  <si>
    <t>14-01-2003 00:00:00</t>
  </si>
  <si>
    <t>26811376</t>
  </si>
  <si>
    <t>ООО "Аспект"</t>
  </si>
  <si>
    <t>1203008416</t>
  </si>
  <si>
    <t>29649760</t>
  </si>
  <si>
    <t>ООО "Базис М"</t>
  </si>
  <si>
    <t>1215142864</t>
  </si>
  <si>
    <t>30991873</t>
  </si>
  <si>
    <t>ООО "ВКБ-ЭКО"</t>
  </si>
  <si>
    <t>1225000682</t>
  </si>
  <si>
    <t>21-04-2017 00:00:00</t>
  </si>
  <si>
    <t>27261804</t>
  </si>
  <si>
    <t>ООО "Водоканал-Китунькино"</t>
  </si>
  <si>
    <t>1201005804</t>
  </si>
  <si>
    <t>12-12-2010 00:00:00</t>
  </si>
  <si>
    <t>27260773</t>
  </si>
  <si>
    <t>ООО "Водоканал-Малое Иваново"</t>
  </si>
  <si>
    <t>1201005836</t>
  </si>
  <si>
    <t>13-12-2010 00:00:00</t>
  </si>
  <si>
    <t>27269965</t>
  </si>
  <si>
    <t>ООО "Еласовское водоснабжение"</t>
  </si>
  <si>
    <t>1202008237</t>
  </si>
  <si>
    <t>26550045</t>
  </si>
  <si>
    <t>ООО "Жилкомсервис"</t>
  </si>
  <si>
    <t>1208006980</t>
  </si>
  <si>
    <t>18-12-2009 00:00:00</t>
  </si>
  <si>
    <t>27592250</t>
  </si>
  <si>
    <t>ООО "Жилтехник"</t>
  </si>
  <si>
    <t>1204003629</t>
  </si>
  <si>
    <t>28159784</t>
  </si>
  <si>
    <t>ООО "Звениговский водоканал"</t>
  </si>
  <si>
    <t>1203009787</t>
  </si>
  <si>
    <t>28-05-2013 00:00:00</t>
  </si>
  <si>
    <t>25-10-2023 00:00:00</t>
  </si>
  <si>
    <t>28932339</t>
  </si>
  <si>
    <t>ООО "Колодец"</t>
  </si>
  <si>
    <t>1202008854</t>
  </si>
  <si>
    <t>28273271</t>
  </si>
  <si>
    <t>ООО "Крестьянское подворье-АГРО"</t>
  </si>
  <si>
    <t>1207010656</t>
  </si>
  <si>
    <t>08-05-2008 00:00:00</t>
  </si>
  <si>
    <t>31379031</t>
  </si>
  <si>
    <t>ООО "Кужмарские коммунальные сети"</t>
  </si>
  <si>
    <t>1225001100</t>
  </si>
  <si>
    <t>12-01-2020 00:00:00</t>
  </si>
  <si>
    <t>31723744</t>
  </si>
  <si>
    <t>ООО "Моркинская жилищная компания"</t>
  </si>
  <si>
    <t>1225000065</t>
  </si>
  <si>
    <t>05-02-2015 00:00:00</t>
  </si>
  <si>
    <t>28979974</t>
  </si>
  <si>
    <t>ООО "Озеркинский водоканал"</t>
  </si>
  <si>
    <t>1202008910</t>
  </si>
  <si>
    <t>27753491</t>
  </si>
  <si>
    <t>ООО "Пайгусовское водоснабжение"</t>
  </si>
  <si>
    <t>1202008364</t>
  </si>
  <si>
    <t>27753455</t>
  </si>
  <si>
    <t>ООО "Посейдон"</t>
  </si>
  <si>
    <t>1202008621</t>
  </si>
  <si>
    <t>100201001</t>
  </si>
  <si>
    <t>12-10-2011 00:00:00</t>
  </si>
  <si>
    <t>31193637</t>
  </si>
  <si>
    <t>ООО "Птицефабрика "Приволжская"</t>
  </si>
  <si>
    <t>1224003923</t>
  </si>
  <si>
    <t>122401001</t>
  </si>
  <si>
    <t>31668470</t>
  </si>
  <si>
    <t>ООО "Птицефабрика Горномарийская"</t>
  </si>
  <si>
    <t>1200009186</t>
  </si>
  <si>
    <t>120001001</t>
  </si>
  <si>
    <t>28-02-2023 00:00:00</t>
  </si>
  <si>
    <t>28965879</t>
  </si>
  <si>
    <t>ООО "Пятерочка"</t>
  </si>
  <si>
    <t>1203005817</t>
  </si>
  <si>
    <t>26796330</t>
  </si>
  <si>
    <t>ООО "Ремонтно-строительный участок"</t>
  </si>
  <si>
    <t>1207010960</t>
  </si>
  <si>
    <t>28821999</t>
  </si>
  <si>
    <t>ООО "СТР Профит"</t>
  </si>
  <si>
    <t>1209005274</t>
  </si>
  <si>
    <t>28820054</t>
  </si>
  <si>
    <t>ООО "Хлебниковское"</t>
  </si>
  <si>
    <t>1206004427</t>
  </si>
  <si>
    <t>26654254</t>
  </si>
  <si>
    <t>ООО "Холдинг Морки"</t>
  </si>
  <si>
    <t>1208006941</t>
  </si>
  <si>
    <t>09-12-2009 00:00:00</t>
  </si>
  <si>
    <t>26579773</t>
  </si>
  <si>
    <t>ООО "Чапаевское"</t>
  </si>
  <si>
    <t>1202006649</t>
  </si>
  <si>
    <t>25-02-2005 00:00:00</t>
  </si>
  <si>
    <t>26796653</t>
  </si>
  <si>
    <t>ООО "Шойбулакское"</t>
  </si>
  <si>
    <t>1207011321</t>
  </si>
  <si>
    <t>26654229</t>
  </si>
  <si>
    <t>ООО "Юринский водоканал"</t>
  </si>
  <si>
    <t>1214002328</t>
  </si>
  <si>
    <t>17-11-2023 00:00:00</t>
  </si>
  <si>
    <t>26579789</t>
  </si>
  <si>
    <t>ООО Агрофирма "Акпарс"</t>
  </si>
  <si>
    <t>1206004635</t>
  </si>
  <si>
    <t>30435063</t>
  </si>
  <si>
    <t>ООО Аква-МУС</t>
  </si>
  <si>
    <t>1203010260</t>
  </si>
  <si>
    <t>26427270</t>
  </si>
  <si>
    <t>ООО Медведевская управляющая компания "ЭксЖилФонд"</t>
  </si>
  <si>
    <t>1207009065</t>
  </si>
  <si>
    <t>09-10-2006 00:00:00</t>
  </si>
  <si>
    <t>27264863</t>
  </si>
  <si>
    <t>ООО РЭК "Жилкомсервис"</t>
  </si>
  <si>
    <t>1207008738</t>
  </si>
  <si>
    <t>26587397</t>
  </si>
  <si>
    <t>ПК "Емешевский"</t>
  </si>
  <si>
    <t>1202008100</t>
  </si>
  <si>
    <t>22-04-2010 00:00:00</t>
  </si>
  <si>
    <t>26540336</t>
  </si>
  <si>
    <t>ПК СХА (колхоз) "Искра"</t>
  </si>
  <si>
    <t>1205002674</t>
  </si>
  <si>
    <t>19-11-1998 00:00:00</t>
  </si>
  <si>
    <t>26436096</t>
  </si>
  <si>
    <t>ПО "Даниловское"</t>
  </si>
  <si>
    <t>1215027406</t>
  </si>
  <si>
    <t>02-03-2001 00:00:00</t>
  </si>
  <si>
    <t>27753467</t>
  </si>
  <si>
    <t>СПК "Волга"</t>
  </si>
  <si>
    <t>1202004722</t>
  </si>
  <si>
    <t>26581432</t>
  </si>
  <si>
    <t>СПК "Москва"</t>
  </si>
  <si>
    <t>1202000566</t>
  </si>
  <si>
    <t>13-12-1993 00:00:00</t>
  </si>
  <si>
    <t>26581393</t>
  </si>
  <si>
    <t>СПК птицефабрика "Горномарийская"</t>
  </si>
  <si>
    <t>1202001665</t>
  </si>
  <si>
    <t>04-11-2004 00:00:00</t>
  </si>
  <si>
    <t>26654224</t>
  </si>
  <si>
    <t>СХПК - СХА (колхоз) "Первое мая"</t>
  </si>
  <si>
    <t>1209000580</t>
  </si>
  <si>
    <t>30959518</t>
  </si>
  <si>
    <t>ФКУ "ИК-4 УФСИН по Республике Марий Эл"</t>
  </si>
  <si>
    <t>1207005342</t>
  </si>
  <si>
    <t>25-12-2002 00:00:00</t>
  </si>
  <si>
    <t>26358437</t>
  </si>
  <si>
    <t>Филиал ООО "Газпром трансгаз Нижний Новгород" - Моркинское ЛПУМГ</t>
  </si>
  <si>
    <t>120802001</t>
  </si>
  <si>
    <t>15-12-1999 00:00:00</t>
  </si>
  <si>
    <t>26434999</t>
  </si>
  <si>
    <t>ООО "ИнвестКомунСтрой"</t>
  </si>
  <si>
    <t>1213005245</t>
  </si>
  <si>
    <t>26796779</t>
  </si>
  <si>
    <t>ООО "Суслонгерское водо-канализационное хозяйство"</t>
  </si>
  <si>
    <t>1203008504</t>
  </si>
  <si>
    <t>30-11-2010 00:00:00</t>
  </si>
  <si>
    <t>26766592</t>
  </si>
  <si>
    <t>ООО "Управляющая организация"</t>
  </si>
  <si>
    <t>1217004725</t>
  </si>
  <si>
    <t>28978616</t>
  </si>
  <si>
    <t>ИП Алтыбаева С.А.</t>
  </si>
  <si>
    <t>772640599742</t>
  </si>
  <si>
    <t>28435773</t>
  </si>
  <si>
    <t>ИП Краснов В.А.</t>
  </si>
  <si>
    <t>120301782491</t>
  </si>
  <si>
    <t>28436509</t>
  </si>
  <si>
    <t>ИП Попов А.Н.</t>
  </si>
  <si>
    <t>121502603112</t>
  </si>
  <si>
    <t>16-10-2000 00:00:00</t>
  </si>
  <si>
    <t>26433551</t>
  </si>
  <si>
    <t>МУП "Новоторъяльский жилсервис"</t>
  </si>
  <si>
    <t>1209004873</t>
  </si>
  <si>
    <t>27573959</t>
  </si>
  <si>
    <t>ОАО "Комбинат благоустройства"</t>
  </si>
  <si>
    <t>1216020403</t>
  </si>
  <si>
    <t>26540490</t>
  </si>
  <si>
    <t>ООО "Благоустройство"</t>
  </si>
  <si>
    <t>1207010977</t>
  </si>
  <si>
    <t>28-10-2008 00:00:00</t>
  </si>
  <si>
    <t>30350805</t>
  </si>
  <si>
    <t>ООО "Куженерводоканал"</t>
  </si>
  <si>
    <t>1205004720</t>
  </si>
  <si>
    <t>31667349</t>
  </si>
  <si>
    <t>ООО "Мусоросортировочный комплекс-Йошкар-Ола"</t>
  </si>
  <si>
    <t>1200005720</t>
  </si>
  <si>
    <t>12-05-2022 00:00:00</t>
  </si>
  <si>
    <t>26435009</t>
  </si>
  <si>
    <t>ООО "СоветскКоммунКомплект"</t>
  </si>
  <si>
    <t>1213005238</t>
  </si>
  <si>
    <t>31699959</t>
  </si>
  <si>
    <t>ООО "Чистый город"</t>
  </si>
  <si>
    <t>1207008914</t>
  </si>
  <si>
    <t>31223016</t>
  </si>
  <si>
    <t>1217006948</t>
  </si>
  <si>
    <t>31667353</t>
  </si>
  <si>
    <t>ООО"Мусоросортировочный комплекс-Сернур"</t>
  </si>
  <si>
    <t>1200002208</t>
  </si>
  <si>
    <t>27-08-2021 00:00:00</t>
  </si>
  <si>
    <t>NSRF</t>
  </si>
  <si>
    <t>MR_NAME</t>
  </si>
  <si>
    <t>OKTMO_MR_NAME</t>
  </si>
  <si>
    <t>MO_NAME</t>
  </si>
  <si>
    <t>OKTMO_NAME</t>
  </si>
  <si>
    <t>TYPE</t>
  </si>
  <si>
    <t>MR_ID</t>
  </si>
  <si>
    <t>Большепаратское сельское поселение</t>
  </si>
  <si>
    <t>88604405</t>
  </si>
  <si>
    <t>сельское поселение</t>
  </si>
  <si>
    <t>муниципальный район</t>
  </si>
  <si>
    <t>Карамасское сельское поселение</t>
  </si>
  <si>
    <t>88604418</t>
  </si>
  <si>
    <t>Обшиярское сельское поселение</t>
  </si>
  <si>
    <t>88604424</t>
  </si>
  <si>
    <t>Петъяльское сельское поселение</t>
  </si>
  <si>
    <t>88604435</t>
  </si>
  <si>
    <t>Помарское</t>
  </si>
  <si>
    <t>88604442</t>
  </si>
  <si>
    <t>Сотнурское сельское поселение</t>
  </si>
  <si>
    <t>88604447</t>
  </si>
  <si>
    <t>Эмековское</t>
  </si>
  <si>
    <t>88604469</t>
  </si>
  <si>
    <t>пгт. Приволжский</t>
  </si>
  <si>
    <t>88604159</t>
  </si>
  <si>
    <t>городское поселение, в состав которого входит поселок</t>
  </si>
  <si>
    <t>Виловатовское сельское поселение</t>
  </si>
  <si>
    <t>88608420</t>
  </si>
  <si>
    <t>Еласовское сельское поселение</t>
  </si>
  <si>
    <t>88608425</t>
  </si>
  <si>
    <t>Емешевское сельское поселение</t>
  </si>
  <si>
    <t>88608430</t>
  </si>
  <si>
    <t>Красноволжское сельское поселение</t>
  </si>
  <si>
    <t>88608440</t>
  </si>
  <si>
    <t>Кузнецовское сельское поселение</t>
  </si>
  <si>
    <t>88608445</t>
  </si>
  <si>
    <t>Микряковское сельское поселение</t>
  </si>
  <si>
    <t>88608450</t>
  </si>
  <si>
    <t>Озеркинское сельское поселение</t>
  </si>
  <si>
    <t>88608435</t>
  </si>
  <si>
    <t>Пайгусовское сельское поселение</t>
  </si>
  <si>
    <t>88608455</t>
  </si>
  <si>
    <t>Троицко-Посадское</t>
  </si>
  <si>
    <t>88608465</t>
  </si>
  <si>
    <t>Усолинское сельское поселение</t>
  </si>
  <si>
    <t>88608470</t>
  </si>
  <si>
    <t>Исменецкое сельское поселение</t>
  </si>
  <si>
    <t>88612405</t>
  </si>
  <si>
    <t>Кокшайское сельское поселение</t>
  </si>
  <si>
    <t>88612450</t>
  </si>
  <si>
    <t>Кокшамарское сельское поселение</t>
  </si>
  <si>
    <t>88612420</t>
  </si>
  <si>
    <t>Красноярское сельское поселение</t>
  </si>
  <si>
    <t>88612425</t>
  </si>
  <si>
    <t>Кужмарское сельское поселение</t>
  </si>
  <si>
    <t>88612430</t>
  </si>
  <si>
    <t>Черноозерское</t>
  </si>
  <si>
    <t>88612440</t>
  </si>
  <si>
    <t>Шелангерское сельское поселение</t>
  </si>
  <si>
    <t>88612445</t>
  </si>
  <si>
    <t>г. Звенигово</t>
  </si>
  <si>
    <t>88612101</t>
  </si>
  <si>
    <t>городское поселение, в состав которого входит город</t>
  </si>
  <si>
    <t>пгт. Красногорский</t>
  </si>
  <si>
    <t>88612162</t>
  </si>
  <si>
    <t>пгт. Суслонгер</t>
  </si>
  <si>
    <t>88612184</t>
  </si>
  <si>
    <t>Ардинское</t>
  </si>
  <si>
    <t>88616403</t>
  </si>
  <si>
    <t>Большекибеевское</t>
  </si>
  <si>
    <t>88616411</t>
  </si>
  <si>
    <t>Визимьярское сельское поселение</t>
  </si>
  <si>
    <t>88616415</t>
  </si>
  <si>
    <t>Красномостовское</t>
  </si>
  <si>
    <t>88616435</t>
  </si>
  <si>
    <t>Кумьинское</t>
  </si>
  <si>
    <t>88616444</t>
  </si>
  <si>
    <t>Нежнурское</t>
  </si>
  <si>
    <t>88616466</t>
  </si>
  <si>
    <t>Широкундышское</t>
  </si>
  <si>
    <t>88616488</t>
  </si>
  <si>
    <t>Юксарское</t>
  </si>
  <si>
    <t>88616490</t>
  </si>
  <si>
    <t>пгт. Килемары</t>
  </si>
  <si>
    <t>88616151</t>
  </si>
  <si>
    <t>Иштымбальское</t>
  </si>
  <si>
    <t>88620420</t>
  </si>
  <si>
    <t>Русско-Шойское сельское поселение</t>
  </si>
  <si>
    <t>88620450</t>
  </si>
  <si>
    <t>Салтакъяльское</t>
  </si>
  <si>
    <t>88620460</t>
  </si>
  <si>
    <t>Токтайбелякское</t>
  </si>
  <si>
    <t>88620470</t>
  </si>
  <si>
    <t>Тумьюмучашское</t>
  </si>
  <si>
    <t>88620480</t>
  </si>
  <si>
    <t>Шорсолинское</t>
  </si>
  <si>
    <t>88620485</t>
  </si>
  <si>
    <t>Шудумарское</t>
  </si>
  <si>
    <t>88620440</t>
  </si>
  <si>
    <t>Юледурское сельское поселение</t>
  </si>
  <si>
    <t>88620490</t>
  </si>
  <si>
    <t>пгт. Куженер</t>
  </si>
  <si>
    <t>88620151</t>
  </si>
  <si>
    <t>Карлыганское</t>
  </si>
  <si>
    <t>88624405</t>
  </si>
  <si>
    <t>Косолаповское сельское поселение</t>
  </si>
  <si>
    <t>88624410</t>
  </si>
  <si>
    <t>Мари-Биляморское</t>
  </si>
  <si>
    <t>88624420</t>
  </si>
  <si>
    <t>Марийское</t>
  </si>
  <si>
    <t>88624422</t>
  </si>
  <si>
    <t>Хлебниковское сельское поселение</t>
  </si>
  <si>
    <t>88624445</t>
  </si>
  <si>
    <t>пгт. Мари-Турек</t>
  </si>
  <si>
    <t>88624151</t>
  </si>
  <si>
    <t>Азановское</t>
  </si>
  <si>
    <t>88628405</t>
  </si>
  <si>
    <t>Азяковское</t>
  </si>
  <si>
    <t>88628407</t>
  </si>
  <si>
    <t>60</t>
  </si>
  <si>
    <t>Ежовское</t>
  </si>
  <si>
    <t>88628410</t>
  </si>
  <si>
    <t>61</t>
  </si>
  <si>
    <t>Знаменское</t>
  </si>
  <si>
    <t>88628412</t>
  </si>
  <si>
    <t>62</t>
  </si>
  <si>
    <t>88628418</t>
  </si>
  <si>
    <t>63</t>
  </si>
  <si>
    <t>Кундышское сельское поселение</t>
  </si>
  <si>
    <t>88628419</t>
  </si>
  <si>
    <t>64</t>
  </si>
  <si>
    <t>Куярское сельское поселение</t>
  </si>
  <si>
    <t>88628417</t>
  </si>
  <si>
    <t>65</t>
  </si>
  <si>
    <t>Люльпанское</t>
  </si>
  <si>
    <t>88628420</t>
  </si>
  <si>
    <t>Нужъяльское</t>
  </si>
  <si>
    <t>88628428</t>
  </si>
  <si>
    <t>Нурминское</t>
  </si>
  <si>
    <t>88628430</t>
  </si>
  <si>
    <t>69</t>
  </si>
  <si>
    <t>Пекшиксолинское</t>
  </si>
  <si>
    <t>88628425</t>
  </si>
  <si>
    <t>70</t>
  </si>
  <si>
    <t>Пижменское</t>
  </si>
  <si>
    <t>88628435</t>
  </si>
  <si>
    <t>71</t>
  </si>
  <si>
    <t>Русско-Кукморское</t>
  </si>
  <si>
    <t>88628440</t>
  </si>
  <si>
    <t>72</t>
  </si>
  <si>
    <t>Руэмское сельское поселение</t>
  </si>
  <si>
    <t>88628442</t>
  </si>
  <si>
    <t>73</t>
  </si>
  <si>
    <t>Сенькинское сельское поселение</t>
  </si>
  <si>
    <t>88628448</t>
  </si>
  <si>
    <t>74</t>
  </si>
  <si>
    <t>Сидоровское сельское поселение</t>
  </si>
  <si>
    <t>88628450</t>
  </si>
  <si>
    <t>75</t>
  </si>
  <si>
    <t>Туршинское</t>
  </si>
  <si>
    <t>88628455</t>
  </si>
  <si>
    <t>76</t>
  </si>
  <si>
    <t>Шойбулакское сельское поселение</t>
  </si>
  <si>
    <t>88628470</t>
  </si>
  <si>
    <t>77</t>
  </si>
  <si>
    <t>Юбилейное</t>
  </si>
  <si>
    <t>88628480</t>
  </si>
  <si>
    <t>78</t>
  </si>
  <si>
    <t>пгт. Краснооктябрьский</t>
  </si>
  <si>
    <t>88628160</t>
  </si>
  <si>
    <t>79</t>
  </si>
  <si>
    <t>пгт. Медведево</t>
  </si>
  <si>
    <t>88628151</t>
  </si>
  <si>
    <t>80</t>
  </si>
  <si>
    <t>Зеленогорское</t>
  </si>
  <si>
    <t>88632415</t>
  </si>
  <si>
    <t>81</t>
  </si>
  <si>
    <t>Коркатовское</t>
  </si>
  <si>
    <t>88632425</t>
  </si>
  <si>
    <t>82</t>
  </si>
  <si>
    <t>Красностекловарское</t>
  </si>
  <si>
    <t>88632426</t>
  </si>
  <si>
    <t>83</t>
  </si>
  <si>
    <t>Октябрьское сельское поселение</t>
  </si>
  <si>
    <t>88632445</t>
  </si>
  <si>
    <t>85</t>
  </si>
  <si>
    <t>Себеусадское</t>
  </si>
  <si>
    <t>88632455</t>
  </si>
  <si>
    <t>86</t>
  </si>
  <si>
    <t>Семисолинское сельское поселение</t>
  </si>
  <si>
    <t>88632460</t>
  </si>
  <si>
    <t>87</t>
  </si>
  <si>
    <t>Шалинское</t>
  </si>
  <si>
    <t>88632470</t>
  </si>
  <si>
    <t>88</t>
  </si>
  <si>
    <t>Шиньшинское</t>
  </si>
  <si>
    <t>88632475</t>
  </si>
  <si>
    <t>89</t>
  </si>
  <si>
    <t>Шоруньжинское сельское поселение</t>
  </si>
  <si>
    <t>88632480</t>
  </si>
  <si>
    <t>90</t>
  </si>
  <si>
    <t>пгт. Морки</t>
  </si>
  <si>
    <t>88632151</t>
  </si>
  <si>
    <t>91</t>
  </si>
  <si>
    <t>Масканурское</t>
  </si>
  <si>
    <t>88636420</t>
  </si>
  <si>
    <t>92</t>
  </si>
  <si>
    <t>Пектубаевское</t>
  </si>
  <si>
    <t>88636435</t>
  </si>
  <si>
    <t>94</t>
  </si>
  <si>
    <t>Староторъяльское</t>
  </si>
  <si>
    <t>88636440</t>
  </si>
  <si>
    <t>95</t>
  </si>
  <si>
    <t>Чуксолинское сельское поселение</t>
  </si>
  <si>
    <t>88636450</t>
  </si>
  <si>
    <t>96</t>
  </si>
  <si>
    <t>пгт. Новый Торъял</t>
  </si>
  <si>
    <t>88636151</t>
  </si>
  <si>
    <t>97</t>
  </si>
  <si>
    <t>Большеоршинское</t>
  </si>
  <si>
    <t>88640402</t>
  </si>
  <si>
    <t>98</t>
  </si>
  <si>
    <t>Великопольское</t>
  </si>
  <si>
    <t>88640405</t>
  </si>
  <si>
    <t>99</t>
  </si>
  <si>
    <t>Каракшинское</t>
  </si>
  <si>
    <t>88640410</t>
  </si>
  <si>
    <t>100</t>
  </si>
  <si>
    <t>Лужбелякское сельское поселение</t>
  </si>
  <si>
    <t>88640419</t>
  </si>
  <si>
    <t>101</t>
  </si>
  <si>
    <t>Марковское</t>
  </si>
  <si>
    <t>88640420</t>
  </si>
  <si>
    <t>102</t>
  </si>
  <si>
    <t>Старокрещенское</t>
  </si>
  <si>
    <t>88640435</t>
  </si>
  <si>
    <t>104</t>
  </si>
  <si>
    <t>Табашинское</t>
  </si>
  <si>
    <t>88640440</t>
  </si>
  <si>
    <t>105</t>
  </si>
  <si>
    <t>Упшинское</t>
  </si>
  <si>
    <t>88640445</t>
  </si>
  <si>
    <t>106</t>
  </si>
  <si>
    <t>Чирковское</t>
  </si>
  <si>
    <t>88640448</t>
  </si>
  <si>
    <t>107</t>
  </si>
  <si>
    <t>Шулкинское</t>
  </si>
  <si>
    <t>88640450</t>
  </si>
  <si>
    <t>108</t>
  </si>
  <si>
    <t>пгт. Оршанка</t>
  </si>
  <si>
    <t>88640151</t>
  </si>
  <si>
    <t>109</t>
  </si>
  <si>
    <t>Алашайское</t>
  </si>
  <si>
    <t>88644411</t>
  </si>
  <si>
    <t>110</t>
  </si>
  <si>
    <t>Елеевское</t>
  </si>
  <si>
    <t>88644422</t>
  </si>
  <si>
    <t>111</t>
  </si>
  <si>
    <t>Илетское</t>
  </si>
  <si>
    <t>88644433</t>
  </si>
  <si>
    <t>112</t>
  </si>
  <si>
    <t>Ильпанурское</t>
  </si>
  <si>
    <t>88644444</t>
  </si>
  <si>
    <t>113</t>
  </si>
  <si>
    <t>Куракинское</t>
  </si>
  <si>
    <t>88644455</t>
  </si>
  <si>
    <t>114</t>
  </si>
  <si>
    <t>Портянурское</t>
  </si>
  <si>
    <t>88644477</t>
  </si>
  <si>
    <t>116</t>
  </si>
  <si>
    <t>Русско-Ляжмаринское</t>
  </si>
  <si>
    <t>88644480</t>
  </si>
  <si>
    <t>117</t>
  </si>
  <si>
    <t>Усолинское</t>
  </si>
  <si>
    <t>88644488</t>
  </si>
  <si>
    <t>118</t>
  </si>
  <si>
    <t>пгт. Параньга</t>
  </si>
  <si>
    <t>88644151</t>
  </si>
  <si>
    <t>119</t>
  </si>
  <si>
    <t>Верхнекугенерское</t>
  </si>
  <si>
    <t>88648455</t>
  </si>
  <si>
    <t>120</t>
  </si>
  <si>
    <t>Дубниковское</t>
  </si>
  <si>
    <t>88648415</t>
  </si>
  <si>
    <t>121</t>
  </si>
  <si>
    <t>Зашижемское</t>
  </si>
  <si>
    <t>88648420</t>
  </si>
  <si>
    <t>122</t>
  </si>
  <si>
    <t>Казанское сельское поселение</t>
  </si>
  <si>
    <t>88648425</t>
  </si>
  <si>
    <t>123</t>
  </si>
  <si>
    <t>Кукнурское сельское поселение</t>
  </si>
  <si>
    <t>88648435</t>
  </si>
  <si>
    <t>124</t>
  </si>
  <si>
    <t>Марисолинское</t>
  </si>
  <si>
    <t>88648445</t>
  </si>
  <si>
    <t>125</t>
  </si>
  <si>
    <t>Сердежское сельское поселение</t>
  </si>
  <si>
    <t>88648468</t>
  </si>
  <si>
    <t>126</t>
  </si>
  <si>
    <t>Чендемеровское</t>
  </si>
  <si>
    <t>88648475</t>
  </si>
  <si>
    <t>128</t>
  </si>
  <si>
    <t>пгт. Сернур</t>
  </si>
  <si>
    <t>88648151</t>
  </si>
  <si>
    <t>129</t>
  </si>
  <si>
    <t>Алексеевское</t>
  </si>
  <si>
    <t>88652410</t>
  </si>
  <si>
    <t>130</t>
  </si>
  <si>
    <t>Верх-Ушнурское</t>
  </si>
  <si>
    <t>88652420</t>
  </si>
  <si>
    <t>131</t>
  </si>
  <si>
    <t>Вятское</t>
  </si>
  <si>
    <t>88652430</t>
  </si>
  <si>
    <t>132</t>
  </si>
  <si>
    <t>Кужмаринское</t>
  </si>
  <si>
    <t>88652447</t>
  </si>
  <si>
    <t>133</t>
  </si>
  <si>
    <t>Михайловское сельское поселение</t>
  </si>
  <si>
    <t>88652470</t>
  </si>
  <si>
    <t>134</t>
  </si>
  <si>
    <t>Ронгинское сельское поселение</t>
  </si>
  <si>
    <t>88652490</t>
  </si>
  <si>
    <t>135</t>
  </si>
  <si>
    <t>Солнечное сельское поселение</t>
  </si>
  <si>
    <t>88652492</t>
  </si>
  <si>
    <t>137</t>
  </si>
  <si>
    <t>пгт. Советский</t>
  </si>
  <si>
    <t>88652151</t>
  </si>
  <si>
    <t>138</t>
  </si>
  <si>
    <t>Быковское</t>
  </si>
  <si>
    <t>88656474</t>
  </si>
  <si>
    <t>139</t>
  </si>
  <si>
    <t>Васильевское</t>
  </si>
  <si>
    <t>88656411</t>
  </si>
  <si>
    <t>140</t>
  </si>
  <si>
    <t>Горношумецкое</t>
  </si>
  <si>
    <t>88656455</t>
  </si>
  <si>
    <t>141</t>
  </si>
  <si>
    <t>Козиковское</t>
  </si>
  <si>
    <t>88656422</t>
  </si>
  <si>
    <t>142</t>
  </si>
  <si>
    <t>Марьинское</t>
  </si>
  <si>
    <t>88656466</t>
  </si>
  <si>
    <t>143</t>
  </si>
  <si>
    <t>Юркинское</t>
  </si>
  <si>
    <t>88656477</t>
  </si>
  <si>
    <t>145</t>
  </si>
  <si>
    <t>пгт. Юрино</t>
  </si>
  <si>
    <t>88656151</t>
  </si>
  <si>
    <t>146</t>
  </si>
  <si>
    <t>г. Волжск</t>
  </si>
  <si>
    <t>88705000</t>
  </si>
  <si>
    <t>городской округ</t>
  </si>
  <si>
    <t>147</t>
  </si>
  <si>
    <t>NUMBER_POINT</t>
  </si>
  <si>
    <t>L_NAME</t>
  </si>
  <si>
    <t>L_START_DATE</t>
  </si>
  <si>
    <t>L_END_DATE</t>
  </si>
  <si>
    <t>Инвестиционная программа в сфере теплоснабжения на 2017-2021 годы ООО "Марийская Теплосетевая Компания"</t>
  </si>
  <si>
    <t>01.01.2017</t>
  </si>
  <si>
    <t>31.12.2021</t>
  </si>
  <si>
    <t>Инвестиционная программа от 08.10.2019 ООО "Марикоммунэнерго" в сфере теплоснабжения по реконструкции и модернизации существующих объектов газовых котельных, на территории муниципального района Медведевский на 2020 год</t>
  </si>
  <si>
    <t>01.01.2020</t>
  </si>
  <si>
    <t>31.12.2020</t>
  </si>
  <si>
    <t>Инвестиционная программа от 08.10.2019 ООО "Марикоммунэнерго" в сфере теплоснабжения по реконструкции и модернизации существующих объектов котельной, на территории городского округа г. Йошкар-Ола на 2020 год</t>
  </si>
  <si>
    <t>Инвестиционная программа от 08.10.2019 ООО "Марикоммунэнерго" в сфере теплоснабжения по реконструкции и модернизации существующих объектов котельной, на территории муниципального района Мари-Турекский на 2020 год</t>
  </si>
  <si>
    <t>Инвестиционная программа от 08.10.2019 ООО "Марикоммунэнерго" в сфере теплоснабжения по реконструкции и модернизации существующих объектов котельной, на территории муниципального района Сернурский на 2020 год</t>
  </si>
  <si>
    <t>Инвестиционная программа от 21.09.2020 ООО "Марикоммунэнерго" в сфере теплоснабжения по строительству, реконструкции и модернизации котельных и тепловых сетей, на территории муниципального района Волжский на 2020-2028 годы</t>
  </si>
  <si>
    <t>05.10.2020</t>
  </si>
  <si>
    <t>31.12.2028</t>
  </si>
  <si>
    <t>Инвестиционная программа от 26.10.2023 МУП "Йошкар-Олинская ТЭЦ-1" в сфере теплоснабжения по строительству, реконструкции и модернизации объектов, на территории городского округа г. Йошкар-Ола на 2024-2025 годы</t>
  </si>
  <si>
    <t>01.01.2024</t>
  </si>
  <si>
    <t>31.12.2025</t>
  </si>
  <si>
    <t>Инвестиционная программа от 26.10.2023 ПАО "Т плюс" Филиал « Марий Эл и Чувашии» в сфере теплоснабжения по реконструкции и модернизации объектов, на территории городского округа г. Йошкар-Ола на 2024 год</t>
  </si>
  <si>
    <t>31.12.2024</t>
  </si>
  <si>
    <t>Инвестиционная программа от 27.10.2022 МУП "Йошкар-Олинская ТЭЦ-1" в сфере теплоснабжения по строительству и техническому перевооружению объектов, на территории городского округа г. Йошкар-Ола на 2023 год</t>
  </si>
  <si>
    <t>01.01.2023</t>
  </si>
  <si>
    <t>31.12.2023</t>
  </si>
  <si>
    <t>Инвестиционная программа от 27.10.2022 ООО "МТсК" в сфере теплоснабжения по строительству, реконструкции и модернизации котельных и тепловых сетей, на территории городского округа г. Волжск на 2023-2027 годы</t>
  </si>
  <si>
    <t>31.12.2027</t>
  </si>
  <si>
    <t>Инвестиционная программа от 27.10.2022 ООО "Марикоммунэнерго" в сфере теплоснабжения по техническому перевооружению котельной, на территории муниципального района Новоторъяльский на 2023 год</t>
  </si>
  <si>
    <t>Инвестиционная программа от 27.10.2022 ООО "Марикоммунэнерго" в сфере теплоснабжения по техническому перевооружению котельной, на территории муниципального района Оршанский на 2023 год</t>
  </si>
  <si>
    <t>Инвестиционная программа от 27.10.2022 ООО "Марикоммунэнерго" в сфере теплоснабжения по техническому перевооружению котельной, на территории муниципального района Советский на 2023 год</t>
  </si>
  <si>
    <t>Инвестиционная программа от 27.10.2022 ООО "Марикоммунэнерго" в сфере теплоснабжения по техническому перевооружению котельной, на территории с Пектубаево, Пектубаевское, Новоторъяльский муниципальный район на 2023 год</t>
  </si>
  <si>
    <t>Инвестиционная программа от 30.10.2020 ООО "Марикоммунэнерго" в сфере теплоснабжения по реконструкции и модернизации существующих объектов котельных, на территории городского округа г. Козьмодемьянск на 2021 год</t>
  </si>
  <si>
    <t>01.01.2021</t>
  </si>
  <si>
    <t>Инвестиционная программа от 30.10.2020 ООО "Марикоммунэнерго" в сфере теплоснабжения по реконструкции и техническому перевооружению котельной на 2021 год</t>
  </si>
  <si>
    <t>Инвестиционная программа от 30.10.2020 ООО "Марикоммунэнерго" в сфере теплоснабжения по реконструкции и техническому перевооружению котельной, на территории муниципального района Мари-Турекский на 2021 год</t>
  </si>
  <si>
    <t>Инвестиционная программа от 30.10.2020 ООО "Марикоммунэнерго" в сфере теплоснабжения по реконструкции и техническому перевооружению котельной, на территории муниципального района Сернурский на 2021 год</t>
  </si>
  <si>
    <t>Инвестиционная программа от 30.10.2020 ООО "Марикоммунэнерго" в сфере теплоснабжения по реконструкции и техническому перевооружению котельных на 2021 год</t>
  </si>
  <si>
    <t>Инвестиционная программа от 30.10.2020 ООО "Марикоммунэнерго" в сфере теплоснабжения по техническому перевооружению котельной, на территории муниципального района Горномарийский на 2021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</si>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</sst>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7030">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3" xfId="0" applyNumberFormat="1" applyFont="1" applyFill="1" applyBorder="1" applyAlignment="1">
      <alignment horizontal="center"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6" borderId="3" xfId="0" applyNumberFormat="1" applyFont="1" applyFill="1" applyBorder="1" applyAlignment="1">
      <alignment horizontal="left" vertical="center" wrapText="1"/>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2" fillId="0" borderId="11" xfId="0" applyNumberFormat="1" applyFont="1" applyBorder="1" applyAlignment="1">
      <alignment horizontal="left" vertical="center" wrapText="1"/>
    </xf>
    <xf numFmtId="49" fontId="2" fillId="0" borderId="0" xfId="0" applyNumberFormat="1" applyFont="1" applyAlignment="1">
      <alignment horizontal="center"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171"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1"/>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3"/>
    </xf>
    <xf numFmtId="49" fontId="0" fillId="0" borderId="0" xfId="0" applyNumberFormat="1" applyFont="1">
      <alignment vertical="top"/>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5"/>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2" fillId="0" borderId="0" xfId="0" applyNumberFormat="1" applyFont="1">
      <alignment vertical="top"/>
    </xf>
    <xf numFmtId="49" fontId="11" fillId="0" borderId="0" xfId="0" applyNumberFormat="1" applyFont="1">
      <alignment vertical="top"/>
    </xf>
    <xf numFmtId="49" fontId="2" fillId="0" borderId="15" xfId="0" applyNumberFormat="1" applyFont="1" applyBorder="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0" fontId="36" fillId="0" borderId="0" xfId="0" applyNumberFormat="1" applyFont="1" applyAlignment="1">
      <alignment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0" fillId="0" borderId="3" xfId="0" applyNumberFormat="1" applyFont="1" applyBorder="1" applyAlignment="1">
      <alignment horizontal="lef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4" xfId="0" applyNumberFormat="1" applyFont="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53" fillId="6" borderId="0" xfId="0" applyNumberFormat="1" applyFont="1" applyFill="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center" vertical="center"/>
    </xf>
    <xf numFmtId="0" fontId="2"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 fontId="2" fillId="7" borderId="4" xfId="0" applyNumberFormat="1" applyFont="1" applyFill="1" applyBorder="1" applyAlignment="1" applyProtection="1">
      <alignment horizontal="right" vertical="center" wrapText="1"/>
      <protection locked="0"/>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2" fillId="0" borderId="4" xfId="0" applyNumberFormat="1" applyFont="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49" fontId="46" fillId="0" borderId="0" xfId="0" applyNumberFormat="1" applyFont="1" applyAlignment="1">
      <alignment horizontal="left" vertical="center"/>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19" fillId="0" borderId="0" xfId="0" applyNumberFormat="1" applyFont="1" applyAlignment="1">
      <alignment horizontal="left" vertical="center"/>
    </xf>
    <xf numFmtId="0" fontId="2" fillId="11" borderId="3" xfId="0" applyNumberFormat="1" applyFont="1" applyFill="1" applyBorder="1" applyAlignment="1" applyProtection="1">
      <alignment horizontal="left" vertical="center" wrapText="1" indent="1"/>
      <protection locked="0"/>
    </xf>
    <xf numFmtId="49" fontId="2" fillId="6" borderId="3" xfId="0" applyNumberFormat="1" applyFont="1" applyFill="1" applyBorder="1" applyAlignment="1">
      <alignment horizontal="center" vertical="center" wrapText="1"/>
    </xf>
    <xf numFmtId="0" fontId="2" fillId="0" borderId="3" xfId="0" applyNumberFormat="1" applyFont="1" applyBorder="1" applyAlignment="1">
      <alignment horizontal="left" vertical="center" wrapText="1" indent="4"/>
    </xf>
    <xf numFmtId="0" fontId="2" fillId="11" borderId="3" xfId="0" applyNumberFormat="1" applyFont="1" applyFill="1" applyBorder="1" applyAlignment="1">
      <alignment horizontal="left" vertical="center" wrapText="1" indent="1"/>
    </xf>
    <xf numFmtId="4" fontId="2" fillId="0" borderId="8" xfId="0" applyNumberFormat="1" applyFont="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0" borderId="27" xfId="0" applyNumberFormat="1" applyFont="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wrapText="1"/>
    </xf>
    <xf numFmtId="49" fontId="12" fillId="8" borderId="6" xfId="0" applyNumberFormat="1" applyFont="1" applyFill="1" applyBorder="1" applyAlignment="1">
      <alignment horizontal="left" vertical="center" inden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0" borderId="14" xfId="0" applyNumberFormat="1" applyFont="1" applyBorder="1" applyAlignment="1">
      <alignment horizontal="righ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0" fillId="7" borderId="27"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0" xfId="0" applyNumberFormat="1" applyFont="1" applyFill="1" applyAlignment="1">
      <alignment horizontal="center" vertical="center" wrapText="1"/>
    </xf>
    <xf numFmtId="0"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11" borderId="3" xfId="0" applyNumberFormat="1" applyFont="1" applyFill="1" applyBorder="1" applyAlignment="1" applyProtection="1">
      <alignment horizontal="left" vertical="center" wrapText="1" indent="1"/>
      <protection locked="0"/>
    </xf>
    <xf numFmtId="49" fontId="2" fillId="0" borderId="3" xfId="0" applyNumberFormat="1" applyFont="1" applyBorder="1" applyAlignment="1">
      <alignment horizontal="left" vertical="center" wrapText="1" indent="1"/>
    </xf>
    <xf numFmtId="0" fontId="7" fillId="0" borderId="0" xfId="0" applyNumberFormat="1" applyFont="1" applyAlignment="1">
      <alignment horizontal="center" vertical="center" wrapTex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ke@mari-e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53396a6f-98bb-49b9-aad2-d28499998a72" TargetMode="External"/><Relationship Id="rId2" Type="http://schemas.openxmlformats.org/officeDocument/2006/relationships/hyperlink" Target="https://portal.eias.ru/Portal/DownloadPage.aspx?type=12&amp;guid=53396a6f-98bb-49b9-aad2-d28499998a72" TargetMode="External"/><Relationship Id="rId1" Type="http://schemas.openxmlformats.org/officeDocument/2006/relationships/hyperlink" Target="http://www.marike.ru/" TargetMode="External"/><Relationship Id="rId5" Type="http://schemas.openxmlformats.org/officeDocument/2006/relationships/drawing" Target="../drawings/drawing4.xml"/><Relationship Id="rId4" Type="http://schemas.openxmlformats.org/officeDocument/2006/relationships/hyperlink" Target="https://portal.eias.ru/Portal/DownloadPage.aspx?type=12&amp;guid=53396a6f-98bb-49b9-aad2-d28499998a72"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7" customWidth="1"/>
    <col min="2" max="2" width="9.140625" style="1797" customWidth="1"/>
    <col min="3" max="3" width="16.42578125" style="1797" customWidth="1"/>
    <col min="4" max="25" width="6.28515625" style="1797" customWidth="1"/>
    <col min="26" max="28" width="11" style="1797"/>
  </cols>
  <sheetData>
    <row r="1" spans="1:28" ht="15.75" customHeight="1">
      <c r="A1" s="1610"/>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2"/>
      <c r="Z1" s="1611"/>
      <c r="AA1" s="1613" t="s">
        <v>0</v>
      </c>
      <c r="AB1" s="1611"/>
    </row>
    <row r="2" spans="1:28" ht="17.25" customHeight="1">
      <c r="A2" s="1611"/>
      <c r="B2" s="6581" t="s">
        <v>1</v>
      </c>
      <c r="C2" s="6581"/>
      <c r="D2" s="6581"/>
      <c r="E2" s="6581"/>
      <c r="F2" s="6581"/>
      <c r="G2" s="6581"/>
      <c r="H2" s="6581"/>
      <c r="I2" s="6581"/>
      <c r="J2" s="6581"/>
      <c r="K2" s="6581"/>
      <c r="L2" s="6581"/>
      <c r="M2" s="6581"/>
      <c r="N2" s="6581"/>
      <c r="O2" s="6581"/>
      <c r="P2" s="6581"/>
      <c r="Q2" s="1614"/>
      <c r="R2" s="1614"/>
      <c r="S2" s="1614"/>
      <c r="T2" s="1614"/>
      <c r="U2" s="1614"/>
      <c r="V2" s="1615"/>
      <c r="W2" s="1614"/>
      <c r="X2" s="1614"/>
      <c r="Y2" s="1612"/>
      <c r="Z2" s="1611"/>
      <c r="AA2" s="1613"/>
      <c r="AB2" s="1611"/>
    </row>
    <row r="3" spans="1:28" ht="15.75" customHeight="1">
      <c r="A3" s="1611"/>
      <c r="B3" s="6582" t="s">
        <v>2</v>
      </c>
      <c r="C3" s="6582"/>
      <c r="D3" s="6582"/>
      <c r="E3" s="6582"/>
      <c r="F3" s="6582"/>
      <c r="G3" s="6582"/>
      <c r="H3" s="6582"/>
      <c r="I3" s="6582"/>
      <c r="J3" s="6582"/>
      <c r="K3" s="6582"/>
      <c r="L3" s="6582"/>
      <c r="M3" s="6582"/>
      <c r="N3" s="6582"/>
      <c r="O3" s="6582"/>
      <c r="P3" s="6582"/>
      <c r="Q3" s="1615"/>
      <c r="R3" s="1615"/>
      <c r="S3" s="1614"/>
      <c r="T3" s="1614"/>
      <c r="U3" s="1614"/>
      <c r="V3" s="1615"/>
      <c r="W3" s="1615"/>
      <c r="X3" s="1615"/>
      <c r="Y3" s="1615"/>
      <c r="Z3" s="1611"/>
      <c r="AA3" s="1613"/>
      <c r="AB3" s="1611"/>
    </row>
    <row r="4" spans="1:28" ht="17.25" customHeight="1">
      <c r="A4" s="1611"/>
      <c r="B4" s="1616"/>
      <c r="C4" s="1611"/>
      <c r="D4" s="1615"/>
      <c r="E4" s="1615"/>
      <c r="F4" s="1615"/>
      <c r="G4" s="1615"/>
      <c r="H4" s="1615"/>
      <c r="I4" s="1615"/>
      <c r="J4" s="1615"/>
      <c r="K4" s="1615"/>
      <c r="L4" s="1615"/>
      <c r="M4" s="1615"/>
      <c r="N4" s="1615"/>
      <c r="O4" s="1615"/>
      <c r="P4" s="1615"/>
      <c r="Q4" s="1615"/>
      <c r="R4" s="1615"/>
      <c r="S4" s="1615"/>
      <c r="T4" s="1615"/>
      <c r="U4" s="1615"/>
      <c r="V4" s="1615"/>
      <c r="W4" s="1615"/>
      <c r="X4" s="1615"/>
      <c r="Y4" s="1615"/>
      <c r="Z4" s="1611"/>
      <c r="AA4" s="1613"/>
      <c r="AB4" s="1611"/>
    </row>
    <row r="5" spans="1:28" ht="22.5" customHeight="1">
      <c r="A5" s="1617"/>
      <c r="B5" s="658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6584"/>
      <c r="D5" s="6584"/>
      <c r="E5" s="6584"/>
      <c r="F5" s="6584"/>
      <c r="G5" s="6584"/>
      <c r="H5" s="6584"/>
      <c r="I5" s="6584"/>
      <c r="J5" s="6584"/>
      <c r="K5" s="6584"/>
      <c r="L5" s="6584"/>
      <c r="M5" s="6584"/>
      <c r="N5" s="6584"/>
      <c r="O5" s="6584"/>
      <c r="P5" s="6584"/>
      <c r="Q5" s="6584"/>
      <c r="R5" s="6584"/>
      <c r="S5" s="6584"/>
      <c r="T5" s="6584"/>
      <c r="U5" s="6584"/>
      <c r="V5" s="6584"/>
      <c r="W5" s="6584"/>
      <c r="X5" s="6584"/>
      <c r="Y5" s="6585"/>
      <c r="Z5" s="1617"/>
      <c r="AA5" s="1613"/>
      <c r="AB5" s="1617"/>
    </row>
    <row r="6" spans="1:28" ht="15" customHeight="1">
      <c r="A6" s="1618"/>
      <c r="B6" s="6586" t="s">
        <v>3</v>
      </c>
      <c r="C6" s="6587"/>
      <c r="D6" s="1619"/>
      <c r="E6" s="1619"/>
      <c r="F6" s="1619"/>
      <c r="G6" s="1619"/>
      <c r="H6" s="1619"/>
      <c r="I6" s="1619"/>
      <c r="J6" s="1619"/>
      <c r="K6" s="1619"/>
      <c r="L6" s="1619"/>
      <c r="M6" s="1619"/>
      <c r="N6" s="1619"/>
      <c r="O6" s="1619"/>
      <c r="P6" s="1619"/>
      <c r="Q6" s="1619"/>
      <c r="R6" s="1619"/>
      <c r="S6" s="1619"/>
      <c r="T6" s="1619"/>
      <c r="U6" s="1619"/>
      <c r="V6" s="1619"/>
      <c r="W6" s="1619"/>
      <c r="X6" s="1619"/>
      <c r="Y6" s="1620"/>
      <c r="Z6" s="1621"/>
      <c r="AA6" s="1622"/>
      <c r="AB6" s="1622"/>
    </row>
    <row r="7" spans="1:28" ht="15" customHeight="1">
      <c r="A7" s="1618"/>
      <c r="B7" s="6586"/>
      <c r="C7" s="6587"/>
      <c r="D7" s="1619"/>
      <c r="E7" s="1619"/>
      <c r="F7" s="1623"/>
      <c r="G7" s="1623"/>
      <c r="H7" s="1623"/>
      <c r="I7" s="1623"/>
      <c r="J7" s="1623"/>
      <c r="K7" s="1623"/>
      <c r="L7" s="1623"/>
      <c r="M7" s="1623"/>
      <c r="N7" s="1623"/>
      <c r="O7" s="1619"/>
      <c r="P7" s="1623"/>
      <c r="Q7" s="1623"/>
      <c r="R7" s="1623"/>
      <c r="S7" s="1623"/>
      <c r="T7" s="1623"/>
      <c r="U7" s="1623"/>
      <c r="V7" s="1623"/>
      <c r="W7" s="1623"/>
      <c r="X7" s="1623"/>
      <c r="Y7" s="1620"/>
      <c r="Z7" s="1621"/>
      <c r="AA7" s="1622"/>
      <c r="AB7" s="1622"/>
    </row>
    <row r="8" spans="1:28" ht="15" customHeight="1">
      <c r="A8" s="1618"/>
      <c r="B8" s="6586"/>
      <c r="C8" s="6587"/>
      <c r="D8" s="1624"/>
      <c r="E8" s="1625" t="s">
        <v>4</v>
      </c>
      <c r="F8" s="6589" t="s">
        <v>5</v>
      </c>
      <c r="G8" s="6590"/>
      <c r="H8" s="6590"/>
      <c r="I8" s="6590"/>
      <c r="J8" s="6590"/>
      <c r="K8" s="6590"/>
      <c r="L8" s="6590"/>
      <c r="M8" s="6590"/>
      <c r="N8" s="1624"/>
      <c r="O8" s="1626" t="s">
        <v>4</v>
      </c>
      <c r="P8" s="6591" t="s">
        <v>6</v>
      </c>
      <c r="Q8" s="6592"/>
      <c r="R8" s="6592"/>
      <c r="S8" s="6592"/>
      <c r="T8" s="6592"/>
      <c r="U8" s="6592"/>
      <c r="V8" s="6592"/>
      <c r="W8" s="6592"/>
      <c r="X8" s="6592"/>
      <c r="Y8" s="1620"/>
      <c r="Z8" s="1621"/>
      <c r="AA8" s="1622"/>
      <c r="AB8" s="1622"/>
    </row>
    <row r="9" spans="1:28" ht="15" customHeight="1">
      <c r="A9" s="1618"/>
      <c r="B9" s="6586"/>
      <c r="C9" s="6587"/>
      <c r="D9" s="1624"/>
      <c r="E9" s="1627" t="s">
        <v>4</v>
      </c>
      <c r="F9" s="6589" t="s">
        <v>7</v>
      </c>
      <c r="G9" s="6590"/>
      <c r="H9" s="6590"/>
      <c r="I9" s="6590"/>
      <c r="J9" s="6590"/>
      <c r="K9" s="6590"/>
      <c r="L9" s="6590"/>
      <c r="M9" s="6590"/>
      <c r="N9" s="1624"/>
      <c r="O9" s="1628" t="s">
        <v>4</v>
      </c>
      <c r="P9" s="6591" t="s">
        <v>8</v>
      </c>
      <c r="Q9" s="6592"/>
      <c r="R9" s="6592"/>
      <c r="S9" s="6592"/>
      <c r="T9" s="6592"/>
      <c r="U9" s="6592"/>
      <c r="V9" s="6592"/>
      <c r="W9" s="6592"/>
      <c r="X9" s="6592"/>
      <c r="Y9" s="1620"/>
      <c r="Z9" s="1621"/>
      <c r="AA9" s="1622"/>
      <c r="AB9" s="1622"/>
    </row>
    <row r="10" spans="1:28" ht="30" customHeight="1">
      <c r="A10" s="1618"/>
      <c r="B10" s="6586"/>
      <c r="C10" s="6588"/>
      <c r="D10" s="1629"/>
      <c r="E10" s="1630"/>
      <c r="F10" s="1623"/>
      <c r="G10" s="1623"/>
      <c r="H10" s="1623"/>
      <c r="I10" s="1623"/>
      <c r="J10" s="1623"/>
      <c r="K10" s="1623"/>
      <c r="L10" s="1623"/>
      <c r="M10" s="1623"/>
      <c r="N10" s="1623"/>
      <c r="O10" s="1630"/>
      <c r="P10" s="1623"/>
      <c r="Q10" s="1623"/>
      <c r="R10" s="1623"/>
      <c r="S10" s="1623"/>
      <c r="T10" s="1623"/>
      <c r="U10" s="1623"/>
      <c r="V10" s="1623"/>
      <c r="W10" s="1623"/>
      <c r="X10" s="1623"/>
      <c r="Y10" s="1620"/>
      <c r="Z10" s="1621"/>
      <c r="AA10" s="1622"/>
      <c r="AB10" s="1622"/>
    </row>
    <row r="11" spans="1:28" ht="19.5" customHeight="1">
      <c r="A11" s="1618"/>
      <c r="B11" s="6593" t="s">
        <v>9</v>
      </c>
      <c r="C11" s="6594"/>
      <c r="D11" s="1624"/>
      <c r="E11" s="1631"/>
      <c r="F11" s="1631"/>
      <c r="G11" s="1631"/>
      <c r="H11" s="1631"/>
      <c r="I11" s="1631"/>
      <c r="J11" s="1631"/>
      <c r="K11" s="1631"/>
      <c r="L11" s="1631"/>
      <c r="M11" s="1631"/>
      <c r="N11" s="1631"/>
      <c r="O11" s="1631"/>
      <c r="P11" s="1631"/>
      <c r="Q11" s="1631"/>
      <c r="R11" s="1631"/>
      <c r="S11" s="1631"/>
      <c r="T11" s="1631"/>
      <c r="U11" s="1631"/>
      <c r="V11" s="1631"/>
      <c r="W11" s="1631"/>
      <c r="X11" s="1631"/>
      <c r="Y11" s="1620"/>
      <c r="Z11" s="1621"/>
      <c r="AA11" s="1622"/>
      <c r="AB11" s="1622"/>
    </row>
    <row r="12" spans="1:28" ht="69" customHeight="1">
      <c r="A12" s="1618"/>
      <c r="B12" s="6586"/>
      <c r="C12" s="6588"/>
      <c r="D12" s="1632"/>
      <c r="E12" s="6590" t="s">
        <v>10</v>
      </c>
      <c r="F12" s="6590"/>
      <c r="G12" s="6590"/>
      <c r="H12" s="6590"/>
      <c r="I12" s="6590"/>
      <c r="J12" s="6590"/>
      <c r="K12" s="6590"/>
      <c r="L12" s="6590"/>
      <c r="M12" s="6590"/>
      <c r="N12" s="6590"/>
      <c r="O12" s="6590"/>
      <c r="P12" s="6590"/>
      <c r="Q12" s="6590"/>
      <c r="R12" s="6590"/>
      <c r="S12" s="6590"/>
      <c r="T12" s="6590"/>
      <c r="U12" s="6590"/>
      <c r="V12" s="6590"/>
      <c r="W12" s="6590"/>
      <c r="X12" s="6590"/>
      <c r="Y12" s="1620"/>
      <c r="Z12" s="1621"/>
      <c r="AA12" s="1622"/>
      <c r="AB12" s="1622"/>
    </row>
    <row r="13" spans="1:28" ht="15" customHeight="1">
      <c r="A13" s="1618"/>
      <c r="B13" s="6593" t="s">
        <v>11</v>
      </c>
      <c r="C13" s="6594"/>
      <c r="D13" s="1619"/>
      <c r="E13" s="1631"/>
      <c r="F13" s="1631"/>
      <c r="G13" s="1631"/>
      <c r="H13" s="1631"/>
      <c r="I13" s="1631"/>
      <c r="J13" s="1631"/>
      <c r="K13" s="1631"/>
      <c r="L13" s="1631"/>
      <c r="M13" s="1631"/>
      <c r="N13" s="1631"/>
      <c r="O13" s="1631"/>
      <c r="P13" s="1631"/>
      <c r="Q13" s="1631"/>
      <c r="R13" s="1631"/>
      <c r="S13" s="1631"/>
      <c r="T13" s="1631"/>
      <c r="U13" s="1631"/>
      <c r="V13" s="1631"/>
      <c r="W13" s="1631"/>
      <c r="X13" s="1631"/>
      <c r="Y13" s="1620"/>
      <c r="Z13" s="1621"/>
      <c r="AA13" s="1622"/>
      <c r="AB13" s="1622"/>
    </row>
    <row r="14" spans="1:28" ht="57" customHeight="1">
      <c r="A14" s="1618"/>
      <c r="B14" s="6586"/>
      <c r="C14" s="6587"/>
      <c r="D14" s="1624"/>
      <c r="E14" s="6597" t="s">
        <v>12</v>
      </c>
      <c r="F14" s="6597"/>
      <c r="G14" s="6597"/>
      <c r="H14" s="6597"/>
      <c r="I14" s="6597"/>
      <c r="J14" s="6597"/>
      <c r="K14" s="6597"/>
      <c r="L14" s="6597"/>
      <c r="M14" s="6597"/>
      <c r="N14" s="6597"/>
      <c r="O14" s="6597"/>
      <c r="P14" s="6597"/>
      <c r="Q14" s="6597"/>
      <c r="R14" s="6597"/>
      <c r="S14" s="6597"/>
      <c r="T14" s="6597"/>
      <c r="U14" s="6597"/>
      <c r="V14" s="6597"/>
      <c r="W14" s="6597"/>
      <c r="X14" s="6597"/>
      <c r="Y14" s="1620"/>
      <c r="Z14" s="1621"/>
      <c r="AA14" s="1622"/>
      <c r="AB14" s="1622"/>
    </row>
    <row r="15" spans="1:28" ht="16.5" customHeight="1">
      <c r="A15" s="1618"/>
      <c r="B15" s="6595"/>
      <c r="C15" s="6596"/>
      <c r="D15" s="1633"/>
      <c r="E15" s="1634"/>
      <c r="F15" s="1634"/>
      <c r="G15" s="1634"/>
      <c r="H15" s="1634"/>
      <c r="I15" s="1634"/>
      <c r="J15" s="1634"/>
      <c r="K15" s="1634"/>
      <c r="L15" s="1634"/>
      <c r="M15" s="1634"/>
      <c r="N15" s="1634"/>
      <c r="O15" s="1634"/>
      <c r="P15" s="1634"/>
      <c r="Q15" s="1634"/>
      <c r="R15" s="1634"/>
      <c r="S15" s="1634"/>
      <c r="T15" s="1634"/>
      <c r="U15" s="1634"/>
      <c r="V15" s="1634"/>
      <c r="W15" s="1634"/>
      <c r="X15" s="1634"/>
      <c r="Y15" s="1635"/>
      <c r="Z15" s="1621"/>
      <c r="AA15" s="1636"/>
      <c r="AB15" s="1622"/>
    </row>
    <row r="16" spans="1:28" ht="95.25" customHeight="1">
      <c r="A16" s="1611"/>
      <c r="B16" s="6597"/>
      <c r="C16" s="6598"/>
      <c r="D16" s="6598"/>
      <c r="E16" s="6598"/>
      <c r="F16" s="6598"/>
      <c r="G16" s="6598"/>
      <c r="H16" s="6598"/>
      <c r="I16" s="6598"/>
      <c r="J16" s="6598"/>
      <c r="K16" s="6598"/>
      <c r="L16" s="6598"/>
      <c r="M16" s="6598"/>
      <c r="N16" s="6598"/>
      <c r="O16" s="6598"/>
      <c r="P16" s="6598"/>
      <c r="Q16" s="6598"/>
      <c r="R16" s="6598"/>
      <c r="S16" s="6598"/>
      <c r="T16" s="6598"/>
      <c r="U16" s="6598"/>
      <c r="V16" s="6598"/>
      <c r="W16" s="6598"/>
      <c r="X16" s="6598"/>
      <c r="Y16" s="6598"/>
      <c r="Z16" s="1611"/>
      <c r="AA16" s="1613"/>
      <c r="AB16" s="1611"/>
    </row>
    <row r="17" spans="1:28" ht="14.25" customHeight="1">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1612"/>
      <c r="Z17" s="1611"/>
      <c r="AA17" s="1613"/>
      <c r="AB17" s="1611"/>
    </row>
    <row r="18" spans="1:28" ht="14.25" customHeight="1">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2"/>
      <c r="Z18" s="1611"/>
      <c r="AA18" s="1613"/>
      <c r="AB18" s="1611"/>
    </row>
    <row r="19" spans="1:28" ht="14.25" customHeight="1">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2"/>
      <c r="Z19" s="1611"/>
      <c r="AA19" s="1613"/>
      <c r="AB19" s="1611"/>
    </row>
    <row r="20" spans="1:28" ht="14.25" customHeight="1">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c r="W20" s="1611"/>
      <c r="X20" s="1611"/>
      <c r="Y20" s="1612"/>
      <c r="Z20" s="1611"/>
      <c r="AA20" s="1613"/>
      <c r="AB20" s="1611"/>
    </row>
    <row r="21" spans="1:28" ht="14.25" customHeight="1">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c r="W21" s="1611"/>
      <c r="X21" s="1611"/>
      <c r="Y21" s="1612"/>
      <c r="Z21" s="1611"/>
      <c r="AA21" s="1613"/>
      <c r="AB21" s="1611"/>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057" hidden="1" customWidth="1"/>
    <col min="2" max="2" width="9.140625" style="2056" hidden="1" customWidth="1"/>
    <col min="3" max="3" width="9.140625" style="1820" hidden="1" customWidth="1"/>
    <col min="4" max="4" width="3.7109375" style="2058" customWidth="1"/>
    <col min="5" max="5" width="6.28515625" style="2056" customWidth="1"/>
    <col min="6" max="6" width="1.7109375" style="1820" hidden="1" customWidth="1"/>
    <col min="7" max="8" width="30.7109375" style="2056" customWidth="1"/>
    <col min="9" max="9" width="9" style="2056" customWidth="1"/>
    <col min="10" max="10" width="12.140625" style="2056" customWidth="1"/>
    <col min="11" max="11" width="46.7109375" style="2056" customWidth="1"/>
    <col min="12" max="12" width="100.28515625" style="2056" customWidth="1"/>
    <col min="13" max="13" width="7.5703125" style="2060" customWidth="1"/>
    <col min="14" max="22" width="10.5703125" style="2056"/>
  </cols>
  <sheetData>
    <row r="1" spans="1:22" s="2055" customFormat="1" ht="5.25" hidden="1" customHeight="1">
      <c r="C1" s="437"/>
      <c r="D1" s="420"/>
      <c r="F1" s="437"/>
      <c r="G1" s="415" t="s">
        <v>82</v>
      </c>
      <c r="H1" s="415" t="s">
        <v>83</v>
      </c>
      <c r="I1" s="415" t="s">
        <v>84</v>
      </c>
      <c r="P1" s="415" t="s">
        <v>82</v>
      </c>
      <c r="Q1" s="415" t="s">
        <v>83</v>
      </c>
      <c r="R1" s="415" t="s">
        <v>84</v>
      </c>
    </row>
    <row r="2" spans="1:22" s="2055" customFormat="1" ht="5.25" hidden="1" customHeight="1">
      <c r="C2" s="437"/>
      <c r="D2" s="420"/>
      <c r="F2" s="437"/>
    </row>
    <row r="3" spans="1:22" s="2054" customFormat="1" ht="6" customHeight="1">
      <c r="A3" s="405"/>
      <c r="D3" s="412"/>
      <c r="E3" s="407"/>
      <c r="F3" s="407"/>
      <c r="G3" s="407"/>
      <c r="H3" s="407"/>
      <c r="I3" s="408"/>
      <c r="J3" s="409"/>
      <c r="K3" s="409"/>
      <c r="L3" s="409"/>
    </row>
    <row r="4" spans="1:22" ht="22.5" customHeight="1">
      <c r="D4" s="381"/>
      <c r="E4" s="6622" t="s">
        <v>508</v>
      </c>
      <c r="F4" s="6622"/>
      <c r="G4" s="6623"/>
      <c r="H4" s="6623"/>
      <c r="I4" s="6624"/>
      <c r="J4" s="417"/>
      <c r="K4" s="383"/>
      <c r="L4" s="383"/>
    </row>
    <row r="5" spans="1:22" s="1820" customFormat="1" ht="17.25" customHeight="1">
      <c r="A5" s="676"/>
      <c r="D5" s="739"/>
      <c r="E5" s="6728" t="str">
        <f>IF(org=0,"Не определено",org)</f>
        <v>ООО "Марикоммунэнерго"</v>
      </c>
      <c r="F5" s="6728"/>
      <c r="G5" s="6729"/>
      <c r="H5" s="6729"/>
      <c r="I5" s="6730"/>
      <c r="J5" s="417"/>
      <c r="K5" s="383"/>
      <c r="L5" s="383"/>
      <c r="M5" s="433"/>
    </row>
    <row r="6" spans="1:22" s="2054" customFormat="1" ht="11.25" customHeight="1">
      <c r="A6" s="405"/>
      <c r="D6" s="412"/>
      <c r="E6" s="407"/>
      <c r="F6" s="407"/>
      <c r="G6" s="410"/>
      <c r="H6" s="410"/>
      <c r="I6" s="411"/>
      <c r="J6" s="411"/>
      <c r="K6" s="669"/>
      <c r="L6" s="411"/>
    </row>
    <row r="7" spans="1:22" ht="14.25" customHeight="1">
      <c r="D7" s="381"/>
      <c r="E7" s="6722" t="s">
        <v>418</v>
      </c>
      <c r="F7" s="6722"/>
      <c r="G7" s="6723"/>
      <c r="H7" s="6723"/>
      <c r="I7" s="6723"/>
      <c r="J7" s="6723"/>
      <c r="K7" s="6723"/>
      <c r="L7" s="6657" t="s">
        <v>419</v>
      </c>
    </row>
    <row r="8" spans="1:22" ht="45" customHeight="1">
      <c r="D8" s="381"/>
      <c r="E8" s="400" t="s">
        <v>87</v>
      </c>
      <c r="F8" s="740"/>
      <c r="G8" s="392" t="s">
        <v>85</v>
      </c>
      <c r="H8" s="392" t="s">
        <v>86</v>
      </c>
      <c r="I8" s="348" t="s">
        <v>84</v>
      </c>
      <c r="J8" s="348" t="s">
        <v>509</v>
      </c>
      <c r="K8" s="348" t="s">
        <v>510</v>
      </c>
      <c r="L8" s="6657"/>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6734" t="s">
        <v>511</v>
      </c>
      <c r="M10" s="433"/>
      <c r="N10" s="431"/>
      <c r="O10" s="431"/>
      <c r="P10" s="431"/>
      <c r="Q10" s="431"/>
      <c r="R10" s="431"/>
      <c r="S10" s="431"/>
      <c r="T10" s="431"/>
      <c r="U10" s="431"/>
      <c r="V10" s="431"/>
    </row>
    <row r="11" spans="1:22" ht="15" hidden="1" customHeight="1">
      <c r="A11" s="6603"/>
      <c r="B11" s="430"/>
      <c r="C11" s="430"/>
      <c r="D11" s="778"/>
      <c r="E11" s="439"/>
      <c r="F11" s="439"/>
      <c r="G11" s="439"/>
      <c r="H11" s="439"/>
      <c r="I11" s="440"/>
      <c r="J11" s="441"/>
      <c r="K11" s="632"/>
      <c r="L11" s="6748"/>
      <c r="M11" s="437"/>
      <c r="N11" s="437"/>
      <c r="O11" s="437"/>
      <c r="P11" s="442"/>
      <c r="Q11" s="442"/>
      <c r="R11" s="443"/>
      <c r="S11" s="437"/>
      <c r="T11" s="437"/>
      <c r="U11" s="437"/>
      <c r="V11" s="437"/>
    </row>
    <row r="12" spans="1:22" s="2054" customFormat="1" ht="14.25" customHeight="1">
      <c r="A12" s="6603"/>
      <c r="B12" s="430"/>
      <c r="C12" s="430"/>
      <c r="D12" s="779"/>
      <c r="E12" s="740">
        <v>1</v>
      </c>
      <c r="F12" s="777">
        <v>23</v>
      </c>
      <c r="G12" s="776"/>
      <c r="H12" s="710"/>
      <c r="I12" s="708"/>
      <c r="J12" s="446" t="s">
        <v>61</v>
      </c>
      <c r="K12" s="1064" t="s">
        <v>24</v>
      </c>
      <c r="L12" s="6748"/>
      <c r="M12" s="437"/>
      <c r="N12" s="437"/>
      <c r="O12" s="437"/>
      <c r="P12" s="442" t="s">
        <v>512</v>
      </c>
      <c r="Q12" s="442" t="s">
        <v>513</v>
      </c>
      <c r="R12" s="443" t="s">
        <v>514</v>
      </c>
      <c r="S12" s="437" t="s">
        <v>515</v>
      </c>
      <c r="T12" s="437"/>
      <c r="U12" s="437"/>
      <c r="V12" s="437"/>
    </row>
    <row r="13" spans="1:22" ht="15" customHeight="1">
      <c r="A13" s="6603"/>
      <c r="B13" s="431"/>
      <c r="D13" s="432"/>
      <c r="E13" s="339"/>
      <c r="F13" s="455"/>
      <c r="G13" s="350" t="s">
        <v>101</v>
      </c>
      <c r="H13" s="338"/>
      <c r="I13" s="338"/>
      <c r="J13" s="338"/>
      <c r="K13" s="337"/>
      <c r="L13" s="6735"/>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4" customWidth="1"/>
    <col min="17" max="18" width="3.7109375" style="2075" customWidth="1"/>
    <col min="19" max="19" width="12.7109375" style="2076" customWidth="1"/>
    <col min="20" max="20" width="35.7109375" style="2042" customWidth="1"/>
    <col min="21" max="21" width="0.140625" style="2042" customWidth="1"/>
    <col min="22" max="22" width="24.7109375" style="2042" hidden="1" customWidth="1"/>
    <col min="23" max="23" width="0.140625" style="2042" hidden="1" customWidth="1"/>
    <col min="24" max="25" width="24.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24.7109375" style="2042" customWidth="1"/>
    <col min="31" max="31" width="0.140625" style="2042" customWidth="1"/>
    <col min="32" max="33" width="24.7109375" style="2042" customWidth="1"/>
    <col min="34" max="34" width="11.7109375" style="2042" customWidth="1"/>
    <col min="35" max="35" width="3.7109375" style="2042" customWidth="1"/>
    <col min="36" max="36" width="11.7109375" style="2042" customWidth="1"/>
    <col min="37" max="37" width="8.5703125" style="2042" hidden="1" customWidth="1"/>
    <col min="38" max="38" width="4.7109375" style="2042" customWidth="1"/>
    <col min="39" max="39" width="115.7109375" style="2042"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6763">
        <v>1</v>
      </c>
      <c r="F2" s="1279"/>
      <c r="G2" s="1279"/>
      <c r="H2" s="1279"/>
      <c r="I2" s="1279"/>
      <c r="J2" s="1279"/>
      <c r="K2" s="1279"/>
      <c r="L2" s="1280"/>
      <c r="M2" s="1281"/>
      <c r="N2" s="1281"/>
      <c r="O2" s="1281"/>
      <c r="P2" s="286"/>
      <c r="Q2" s="285"/>
      <c r="R2" s="280"/>
      <c r="S2" s="1227"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51"/>
      <c r="AM2" s="1177" t="s">
        <v>516</v>
      </c>
      <c r="AO2" s="426"/>
      <c r="AP2" s="426" t="str">
        <f t="shared" ref="AP2:AP15" si="0">IF(T2="","",T2)</f>
        <v>Наименование тарифа</v>
      </c>
      <c r="AQ2" s="426"/>
      <c r="AR2" s="426"/>
    </row>
    <row r="3" spans="1:44" ht="21" hidden="1" customHeight="1">
      <c r="A3" s="1279"/>
      <c r="B3" s="1279"/>
      <c r="C3" s="1279"/>
      <c r="D3" s="1279"/>
      <c r="E3" s="6764"/>
      <c r="F3" s="6763">
        <v>1</v>
      </c>
      <c r="G3" s="1279"/>
      <c r="H3" s="1279"/>
      <c r="I3" s="1279"/>
      <c r="J3" s="1279"/>
      <c r="K3" s="1279"/>
      <c r="L3" s="1280"/>
      <c r="M3" s="1281"/>
      <c r="N3" s="1281"/>
      <c r="O3" s="1281"/>
      <c r="P3" s="1223"/>
      <c r="Q3" s="277"/>
      <c r="R3" s="278"/>
      <c r="S3" s="1227"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51"/>
      <c r="AM3" s="1177" t="s">
        <v>518</v>
      </c>
      <c r="AO3" s="426"/>
      <c r="AP3" s="426" t="str">
        <f t="shared" si="0"/>
        <v>Территория действия тарифа</v>
      </c>
      <c r="AQ3" s="426"/>
      <c r="AR3" s="426"/>
    </row>
    <row r="4" spans="1:44" ht="23.25" hidden="1" customHeight="1">
      <c r="A4" s="1279"/>
      <c r="B4" s="1279"/>
      <c r="C4" s="1279"/>
      <c r="D4" s="1279"/>
      <c r="E4" s="6764"/>
      <c r="F4" s="6764"/>
      <c r="G4" s="6763">
        <v>1</v>
      </c>
      <c r="H4" s="1279"/>
      <c r="I4" s="1279"/>
      <c r="J4" s="1279"/>
      <c r="K4" s="1279"/>
      <c r="L4" s="1280"/>
      <c r="M4" s="1281"/>
      <c r="N4" s="1281"/>
      <c r="O4" s="1281"/>
      <c r="P4" s="279"/>
      <c r="Q4" s="277"/>
      <c r="R4" s="278"/>
      <c r="S4" s="1227"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51"/>
      <c r="AM4" s="1177" t="s">
        <v>520</v>
      </c>
      <c r="AO4" s="426"/>
      <c r="AP4" s="426" t="str">
        <f t="shared" si="0"/>
        <v xml:space="preserve">Наименование системы теплоснабжения </v>
      </c>
      <c r="AQ4" s="426"/>
      <c r="AR4" s="426"/>
    </row>
    <row r="5" spans="1:44" ht="21" hidden="1" customHeight="1">
      <c r="A5" s="1279"/>
      <c r="B5" s="1279"/>
      <c r="C5" s="1279"/>
      <c r="D5" s="1279"/>
      <c r="E5" s="6764"/>
      <c r="F5" s="6764"/>
      <c r="G5" s="6764"/>
      <c r="H5" s="6763">
        <v>1</v>
      </c>
      <c r="I5" s="1279"/>
      <c r="J5" s="1279"/>
      <c r="K5" s="1279"/>
      <c r="L5" s="1280"/>
      <c r="M5" s="1281"/>
      <c r="N5" s="1281"/>
      <c r="O5" s="1281"/>
      <c r="P5" s="279"/>
      <c r="Q5" s="277"/>
      <c r="R5" s="278"/>
      <c r="S5" s="1227"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51"/>
      <c r="AM5" s="1177" t="s">
        <v>522</v>
      </c>
      <c r="AO5" s="426"/>
      <c r="AP5" s="426" t="str">
        <f t="shared" si="0"/>
        <v xml:space="preserve">Источник тепловой энергии  </v>
      </c>
      <c r="AQ5" s="426"/>
      <c r="AR5" s="426"/>
    </row>
    <row r="6" spans="1:44" ht="47.25" hidden="1" customHeight="1">
      <c r="A6" s="1279"/>
      <c r="B6" s="1279"/>
      <c r="C6" s="1279"/>
      <c r="D6" s="1279"/>
      <c r="E6" s="6764"/>
      <c r="F6" s="6764"/>
      <c r="G6" s="6764"/>
      <c r="H6" s="6764"/>
      <c r="I6" s="6761" t="e">
        <f>S5&amp;".1"</f>
        <v>#N/A</v>
      </c>
      <c r="J6" s="1279"/>
      <c r="K6" s="1279"/>
      <c r="L6" s="1280" t="s">
        <v>523</v>
      </c>
      <c r="M6" s="462"/>
      <c r="P6" s="6762">
        <v>1</v>
      </c>
      <c r="Q6" s="1224"/>
      <c r="R6" s="281"/>
      <c r="S6" s="1227" t="e">
        <f>$I6</f>
        <v>#N/A</v>
      </c>
      <c r="T6" s="204" t="s">
        <v>524</v>
      </c>
      <c r="U6" s="219"/>
      <c r="V6" s="6752"/>
      <c r="W6" s="6753"/>
      <c r="X6" s="6753"/>
      <c r="Y6" s="6753"/>
      <c r="Z6" s="6753"/>
      <c r="AA6" s="6753"/>
      <c r="AB6" s="6753"/>
      <c r="AC6" s="6754"/>
      <c r="AD6" s="6752"/>
      <c r="AE6" s="6753"/>
      <c r="AF6" s="6753"/>
      <c r="AG6" s="6753"/>
      <c r="AH6" s="6753"/>
      <c r="AI6" s="6753"/>
      <c r="AJ6" s="6753"/>
      <c r="AK6" s="6753"/>
      <c r="AL6" s="6754"/>
      <c r="AM6" s="1177" t="s">
        <v>525</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6764"/>
      <c r="F7" s="6764"/>
      <c r="G7" s="6764"/>
      <c r="H7" s="6764"/>
      <c r="I7" s="6784"/>
      <c r="J7" s="6761" t="e">
        <f>I6&amp;".1"</f>
        <v>#N/A</v>
      </c>
      <c r="K7" s="1279"/>
      <c r="L7" s="1280" t="s">
        <v>526</v>
      </c>
      <c r="M7" s="462"/>
      <c r="N7" s="1282"/>
      <c r="P7" s="6762"/>
      <c r="Q7" s="6762">
        <v>1</v>
      </c>
      <c r="R7" s="282"/>
      <c r="S7" s="1227" t="e">
        <f>$J7</f>
        <v>#N/A</v>
      </c>
      <c r="T7" s="205" t="s">
        <v>527</v>
      </c>
      <c r="U7" s="219"/>
      <c r="V7" s="6752"/>
      <c r="W7" s="6753"/>
      <c r="X7" s="6753"/>
      <c r="Y7" s="6753"/>
      <c r="Z7" s="6753"/>
      <c r="AA7" s="6753"/>
      <c r="AB7" s="6753"/>
      <c r="AC7" s="6754"/>
      <c r="AD7" s="6752"/>
      <c r="AE7" s="6753"/>
      <c r="AF7" s="6753"/>
      <c r="AG7" s="6753"/>
      <c r="AH7" s="6753"/>
      <c r="AI7" s="6753"/>
      <c r="AJ7" s="6753"/>
      <c r="AK7" s="6753"/>
      <c r="AL7" s="6754"/>
      <c r="AM7" s="1177" t="s">
        <v>528</v>
      </c>
      <c r="AO7" s="426"/>
      <c r="AP7" s="426" t="str">
        <f t="shared" si="0"/>
        <v>Группа потребителей</v>
      </c>
      <c r="AQ7" s="426"/>
      <c r="AR7" s="426"/>
    </row>
    <row r="8" spans="1:4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27" t="e">
        <f>$K8</f>
        <v>#N/A</v>
      </c>
      <c r="T8" s="1264"/>
      <c r="U8" s="219"/>
      <c r="V8" s="668"/>
      <c r="W8" s="251"/>
      <c r="X8" s="668"/>
      <c r="Y8" s="1176"/>
      <c r="Z8" s="6766"/>
      <c r="AA8" s="6610" t="s">
        <v>61</v>
      </c>
      <c r="AB8" s="6766"/>
      <c r="AC8" s="6610" t="s">
        <v>61</v>
      </c>
      <c r="AD8" s="668"/>
      <c r="AE8" s="251"/>
      <c r="AF8" s="668"/>
      <c r="AG8" s="1176"/>
      <c r="AH8" s="6766"/>
      <c r="AI8" s="6610" t="s">
        <v>61</v>
      </c>
      <c r="AJ8" s="6766"/>
      <c r="AK8" s="6610" t="s">
        <v>61</v>
      </c>
      <c r="AL8" s="251"/>
      <c r="AM8" s="6758" t="s">
        <v>530</v>
      </c>
      <c r="AN8" s="437" t="e">
        <f ca="1">STRCHECKDATE(V9:AL9)</f>
        <v>#NAME?</v>
      </c>
      <c r="AO8" s="426"/>
      <c r="AP8" s="426" t="str">
        <f t="shared" si="0"/>
        <v/>
      </c>
      <c r="AQ8" s="426"/>
      <c r="AR8" s="426"/>
    </row>
    <row r="9" spans="1:44" ht="0.75" hidden="1" customHeight="1">
      <c r="A9" s="1279"/>
      <c r="B9" s="1279"/>
      <c r="C9" s="1279"/>
      <c r="D9" s="1279"/>
      <c r="E9" s="6764"/>
      <c r="F9" s="6764"/>
      <c r="G9" s="6764"/>
      <c r="H9" s="6764"/>
      <c r="I9" s="6784"/>
      <c r="J9" s="6784"/>
      <c r="K9" s="6761"/>
      <c r="L9" s="1280"/>
      <c r="M9" s="462"/>
      <c r="N9" s="1282"/>
      <c r="O9" s="1282"/>
      <c r="P9" s="6762"/>
      <c r="Q9" s="6762"/>
      <c r="R9" s="282"/>
      <c r="S9" s="1225"/>
      <c r="T9" s="219"/>
      <c r="U9" s="219"/>
      <c r="V9" s="251"/>
      <c r="W9" s="251"/>
      <c r="X9" s="251"/>
      <c r="Y9" s="255" t="str">
        <f>Z8&amp;"-"&amp;AB8</f>
        <v>-</v>
      </c>
      <c r="Z9" s="6767"/>
      <c r="AA9" s="6610"/>
      <c r="AB9" s="6767"/>
      <c r="AC9" s="6610"/>
      <c r="AD9" s="251"/>
      <c r="AE9" s="251"/>
      <c r="AF9" s="251"/>
      <c r="AG9" s="255" t="str">
        <f>AH8&amp;"-"&amp;AJ8</f>
        <v>-</v>
      </c>
      <c r="AH9" s="6767"/>
      <c r="AI9" s="6610"/>
      <c r="AJ9" s="6767"/>
      <c r="AK9" s="6610"/>
      <c r="AL9" s="251"/>
      <c r="AM9" s="6759"/>
      <c r="AO9" s="426"/>
      <c r="AP9" s="426" t="str">
        <f t="shared" si="0"/>
        <v/>
      </c>
      <c r="AQ9" s="426"/>
      <c r="AR9" s="426"/>
    </row>
    <row r="10" spans="1:44" ht="15" hidden="1" customHeight="1">
      <c r="A10" s="1279"/>
      <c r="B10" s="1279"/>
      <c r="C10" s="1279"/>
      <c r="D10" s="1279"/>
      <c r="E10" s="6764"/>
      <c r="F10" s="6764"/>
      <c r="G10" s="6764"/>
      <c r="H10" s="6764"/>
      <c r="I10" s="6784"/>
      <c r="J10" s="6761"/>
      <c r="K10" s="1279"/>
      <c r="L10" s="1280"/>
      <c r="M10" s="462"/>
      <c r="N10" s="1282"/>
      <c r="P10" s="6762"/>
      <c r="Q10" s="6762"/>
      <c r="R10" s="281"/>
      <c r="S10" s="1198"/>
      <c r="T10" s="207" t="s">
        <v>531</v>
      </c>
      <c r="U10" s="295"/>
      <c r="V10" s="295"/>
      <c r="W10" s="295"/>
      <c r="X10" s="295"/>
      <c r="Y10" s="295"/>
      <c r="Z10" s="295"/>
      <c r="AA10" s="295"/>
      <c r="AB10" s="295"/>
      <c r="AC10" s="295"/>
      <c r="AD10" s="295"/>
      <c r="AE10" s="295"/>
      <c r="AF10" s="295"/>
      <c r="AG10" s="295"/>
      <c r="AH10" s="295"/>
      <c r="AI10" s="295"/>
      <c r="AJ10" s="295"/>
      <c r="AK10" s="295"/>
      <c r="AL10" s="250"/>
      <c r="AM10" s="676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6764"/>
      <c r="F11" s="6764"/>
      <c r="G11" s="6764"/>
      <c r="H11" s="6764"/>
      <c r="I11" s="6761"/>
      <c r="J11" s="1279"/>
      <c r="K11" s="1279"/>
      <c r="L11" s="1280"/>
      <c r="M11" s="462"/>
      <c r="P11" s="6762"/>
      <c r="Q11" s="1224"/>
      <c r="R11" s="281"/>
      <c r="S11" s="1198"/>
      <c r="T11" s="206" t="s">
        <v>532</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6764"/>
      <c r="F12" s="6764"/>
      <c r="G12" s="6764"/>
      <c r="H12" s="6763"/>
      <c r="I12" s="1279"/>
      <c r="J12" s="1279"/>
      <c r="K12" s="1279"/>
      <c r="L12" s="1280"/>
      <c r="M12" s="1281"/>
      <c r="N12" s="1281"/>
      <c r="O12" s="462"/>
      <c r="P12" s="285"/>
      <c r="Q12" s="304"/>
      <c r="R12" s="280"/>
      <c r="S12" s="1198"/>
      <c r="T12" s="292" t="s">
        <v>533</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2067" customFormat="1" ht="0.7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067" customFormat="1" ht="0.7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067" customFormat="1" ht="0.7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6768"/>
      <c r="AI17" s="6769" t="s">
        <v>61</v>
      </c>
      <c r="AJ17" s="6768"/>
      <c r="AK17" s="6769" t="s">
        <v>61</v>
      </c>
    </row>
    <row r="18" spans="1:44" ht="14.25" hidden="1" customHeight="1">
      <c r="P18" s="1229"/>
      <c r="AD18" s="1276"/>
      <c r="AE18" s="1276"/>
      <c r="AF18" s="1276"/>
      <c r="AG18" s="255" t="str">
        <f>AH17&amp;"-"&amp;AJ17</f>
        <v>-</v>
      </c>
      <c r="AH18" s="6769"/>
      <c r="AI18" s="6769"/>
      <c r="AJ18" s="6769"/>
      <c r="AK18" s="6769"/>
    </row>
    <row r="19" spans="1:44" ht="14.25" hidden="1" customHeight="1">
      <c r="P19" s="1229"/>
      <c r="AK19" s="254"/>
    </row>
    <row r="20" spans="1:44" s="1830" customFormat="1" ht="22.5" hidden="1" customHeight="1">
      <c r="L20" s="1246"/>
      <c r="M20" s="1278"/>
      <c r="N20" s="1278"/>
      <c r="O20" s="1283" t="s">
        <v>534</v>
      </c>
      <c r="P20" s="1278"/>
      <c r="Q20" s="1287"/>
      <c r="R20" s="1287"/>
      <c r="S20" s="648"/>
      <c r="Z20" s="1283"/>
      <c r="AB20" s="1283"/>
      <c r="AC20" s="1282"/>
      <c r="AH20" s="1283"/>
      <c r="AJ20" s="1283"/>
      <c r="AK20" s="1282"/>
      <c r="AN20" s="437"/>
      <c r="AO20" s="437"/>
      <c r="AP20" s="437"/>
      <c r="AQ20" s="437"/>
      <c r="AR20" s="437"/>
    </row>
    <row r="21" spans="1:44" s="1830" customFormat="1" ht="14.25" hidden="1" customHeight="1">
      <c r="L21" s="1246"/>
      <c r="M21" s="1278"/>
      <c r="N21" s="1278"/>
      <c r="O21" s="1278"/>
      <c r="P21" s="1278"/>
      <c r="Q21" s="1287"/>
      <c r="R21" s="1287"/>
      <c r="S21" s="648"/>
      <c r="AC21" s="1282"/>
      <c r="AK21" s="1282"/>
      <c r="AN21" s="437"/>
      <c r="AO21" s="437"/>
      <c r="AP21" s="437"/>
      <c r="AQ21" s="437"/>
      <c r="AR21" s="437"/>
    </row>
    <row r="22" spans="1:44" s="1830" customFormat="1" ht="14.2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674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747"/>
      <c r="U26" s="6747"/>
      <c r="V26" s="6747"/>
      <c r="W26" s="6747"/>
      <c r="X26" s="6747"/>
      <c r="Y26" s="6747"/>
      <c r="Z26" s="6747"/>
      <c r="AA26" s="6747"/>
      <c r="AB26" s="6747"/>
      <c r="AC26" s="6747"/>
      <c r="AD26" s="6747"/>
      <c r="AE26" s="6747"/>
      <c r="AF26" s="6747"/>
      <c r="AG26" s="6747"/>
      <c r="AH26" s="6747"/>
      <c r="AI26" s="6747"/>
      <c r="AJ26" s="6747"/>
      <c r="AK26" s="1152"/>
    </row>
    <row r="27" spans="1:4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253"/>
      <c r="AM29" s="200"/>
      <c r="AN29" s="296"/>
      <c r="AO29" s="296"/>
      <c r="AP29" s="296"/>
      <c r="AQ29" s="296"/>
      <c r="AR29" s="296"/>
    </row>
    <row r="30" spans="1:4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253"/>
      <c r="AM30" s="200"/>
      <c r="AN30" s="296"/>
      <c r="AO30" s="296"/>
      <c r="AP30" s="296"/>
      <c r="AQ30" s="296"/>
      <c r="AR30" s="296"/>
    </row>
    <row r="31" spans="1:4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253"/>
      <c r="AM31" s="200"/>
      <c r="AN31" s="296"/>
      <c r="AO31" s="296"/>
      <c r="AP31" s="296"/>
      <c r="AQ31" s="296"/>
      <c r="AR31" s="296"/>
    </row>
    <row r="32" spans="1:4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253"/>
      <c r="AM34" s="200"/>
      <c r="AN34" s="296"/>
      <c r="AO34" s="296"/>
      <c r="AP34" s="296"/>
      <c r="AQ34" s="296"/>
      <c r="AR34" s="296"/>
    </row>
    <row r="35" spans="1:44" s="2072" customFormat="1" ht="18.7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253"/>
      <c r="AM35" s="200"/>
      <c r="AN35" s="296"/>
      <c r="AO35" s="296"/>
      <c r="AP35" s="296"/>
      <c r="AQ35" s="296"/>
      <c r="AR35" s="296"/>
    </row>
    <row r="36" spans="1:44" s="2072"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544</v>
      </c>
      <c r="AD36" s="253"/>
      <c r="AE36" s="253"/>
      <c r="AF36" s="253"/>
      <c r="AG36" s="253"/>
      <c r="AH36" s="253"/>
      <c r="AI36" s="253"/>
      <c r="AJ36" s="253"/>
      <c r="AK36" s="198" t="s">
        <v>544</v>
      </c>
      <c r="AN36" s="296"/>
      <c r="AO36" s="296"/>
      <c r="AP36" s="296"/>
      <c r="AQ36" s="296"/>
      <c r="AR36" s="296"/>
    </row>
    <row r="37" spans="1:4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row>
    <row r="38" spans="1:4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c r="AM38" s="6629" t="s">
        <v>419</v>
      </c>
    </row>
    <row r="39" spans="1:44" ht="14.25" customHeight="1">
      <c r="Q39" s="305"/>
      <c r="R39" s="305"/>
      <c r="S39" s="6771" t="s">
        <v>87</v>
      </c>
      <c r="T39" s="6723" t="s">
        <v>545</v>
      </c>
      <c r="U39" s="220"/>
      <c r="V39" s="6772" t="s">
        <v>546</v>
      </c>
      <c r="W39" s="6773"/>
      <c r="X39" s="6773"/>
      <c r="Y39" s="6773"/>
      <c r="Z39" s="6773"/>
      <c r="AA39" s="6773"/>
      <c r="AB39" s="6774"/>
      <c r="AC39" s="6775" t="s">
        <v>547</v>
      </c>
      <c r="AD39" s="6772" t="s">
        <v>546</v>
      </c>
      <c r="AE39" s="6773"/>
      <c r="AF39" s="6773"/>
      <c r="AG39" s="6773"/>
      <c r="AH39" s="6773"/>
      <c r="AI39" s="6773"/>
      <c r="AJ39" s="6774"/>
      <c r="AK39" s="6775" t="s">
        <v>548</v>
      </c>
      <c r="AL39" s="6778" t="s">
        <v>549</v>
      </c>
      <c r="AM39" s="6629"/>
    </row>
    <row r="40" spans="1:44" ht="33.75" customHeight="1">
      <c r="Q40" s="305"/>
      <c r="R40" s="305"/>
      <c r="S40" s="6771"/>
      <c r="T40" s="6723"/>
      <c r="U40" s="938"/>
      <c r="V40" s="6693" t="s">
        <v>550</v>
      </c>
      <c r="W40" s="6781" t="s">
        <v>551</v>
      </c>
      <c r="X40" s="6600" t="s">
        <v>552</v>
      </c>
      <c r="Y40" s="6599"/>
      <c r="Z40" s="6600" t="s">
        <v>553</v>
      </c>
      <c r="AA40" s="6605"/>
      <c r="AB40" s="6599"/>
      <c r="AC40" s="6776"/>
      <c r="AD40" s="6693" t="s">
        <v>550</v>
      </c>
      <c r="AE40" s="6781" t="s">
        <v>551</v>
      </c>
      <c r="AF40" s="6600" t="s">
        <v>552</v>
      </c>
      <c r="AG40" s="6599"/>
      <c r="AH40" s="6600" t="s">
        <v>553</v>
      </c>
      <c r="AI40" s="6605"/>
      <c r="AJ40" s="6599"/>
      <c r="AK40" s="6776"/>
      <c r="AL40" s="6779"/>
      <c r="AM40" s="6629"/>
    </row>
    <row r="41" spans="1:44" ht="33.7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Q41" s="305"/>
      <c r="R41" s="305"/>
      <c r="S41" s="6771"/>
      <c r="T41" s="6723"/>
      <c r="U41" s="221"/>
      <c r="V41" s="6742"/>
      <c r="W41" s="6782"/>
      <c r="X41" s="1128" t="s">
        <v>561</v>
      </c>
      <c r="Y41" s="1128" t="s">
        <v>562</v>
      </c>
      <c r="Z41" s="1127" t="s">
        <v>563</v>
      </c>
      <c r="AA41" s="6731" t="s">
        <v>564</v>
      </c>
      <c r="AB41" s="6733"/>
      <c r="AC41" s="6777"/>
      <c r="AD41" s="6742"/>
      <c r="AE41" s="6782"/>
      <c r="AF41" s="1128" t="s">
        <v>561</v>
      </c>
      <c r="AG41" s="1128" t="s">
        <v>562</v>
      </c>
      <c r="AH41" s="1231" t="s">
        <v>563</v>
      </c>
      <c r="AI41" s="6731" t="s">
        <v>564</v>
      </c>
      <c r="AJ41" s="6733"/>
      <c r="AK41" s="6777"/>
      <c r="AL41" s="6780"/>
      <c r="AM41" s="6629"/>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173">
        <f ca="1">OFFSET(V42,0,-1)+1</f>
        <v>3</v>
      </c>
      <c r="W42" s="1173"/>
      <c r="X42" s="1173">
        <f ca="1">OFFSET(X42,0,-1)+1</f>
        <v>1</v>
      </c>
      <c r="Y42" s="1173">
        <f ca="1">OFFSET(Y42,0,-1)+1</f>
        <v>2</v>
      </c>
      <c r="Z42" s="1173">
        <f ca="1">OFFSET(Z42,0,-1)+1</f>
        <v>3</v>
      </c>
      <c r="AA42" s="6770">
        <f ca="1">OFFSET(AA42,0,-1)+1</f>
        <v>4</v>
      </c>
      <c r="AB42" s="6770"/>
      <c r="AC42" s="1173">
        <f ca="1">OFFSET(AC42,0,-2)+1</f>
        <v>5</v>
      </c>
      <c r="AD42" s="1230">
        <f ca="1">OFFSET(AD42,0,-1)+1</f>
        <v>6</v>
      </c>
      <c r="AE42" s="1230"/>
      <c r="AF42" s="1230">
        <f ca="1">OFFSET(AF42,0,-1)+1</f>
        <v>1</v>
      </c>
      <c r="AG42" s="1230">
        <f ca="1">OFFSET(AG42,0,-1)+1</f>
        <v>2</v>
      </c>
      <c r="AH42" s="1230">
        <f ca="1">OFFSET(AH42,0,-1)+1</f>
        <v>3</v>
      </c>
      <c r="AI42" s="6770">
        <f ca="1">OFFSET(AI42,0,-1)+1</f>
        <v>4</v>
      </c>
      <c r="AJ42" s="6770"/>
      <c r="AK42" s="1230">
        <f ca="1">OFFSET(AK42,0,-2)+1</f>
        <v>5</v>
      </c>
      <c r="AL42" s="1154">
        <f ca="1">OFFSET(AL42,0,-1)</f>
        <v>5</v>
      </c>
      <c r="AM42" s="1173">
        <f ca="1">OFFSET(AM42,0,-1)+1</f>
        <v>6</v>
      </c>
      <c r="AN42" s="437"/>
      <c r="AO42" s="437"/>
      <c r="AP42" s="437"/>
      <c r="AQ42" s="437"/>
      <c r="AR42" s="437"/>
    </row>
    <row r="43" spans="1:44" ht="23.25" customHeight="1">
      <c r="A43" s="1279" t="s">
        <v>216</v>
      </c>
      <c r="B43" s="1279"/>
      <c r="C43" s="1279"/>
      <c r="D43" s="1279"/>
      <c r="E43" s="6763">
        <v>1</v>
      </c>
      <c r="F43" s="1279"/>
      <c r="G43" s="1279"/>
      <c r="H43" s="1279"/>
      <c r="I43" s="1279"/>
      <c r="J43" s="1279"/>
      <c r="K43" s="1279"/>
      <c r="L43" s="1280"/>
      <c r="M43" s="1281"/>
      <c r="N43" s="1281"/>
      <c r="O43" s="1281"/>
      <c r="P43" s="286"/>
      <c r="Q43" s="285"/>
      <c r="R43" s="280"/>
      <c r="S43" s="1132">
        <f>INDEX(PT_DIFFERENTIATION_NUM_NTAR,MATCH(A43,PT_DIFFERENTIATION_NTAR_ID,0))</f>
        <v>0</v>
      </c>
      <c r="T43" s="217" t="s">
        <v>189</v>
      </c>
      <c r="U43" s="219"/>
      <c r="V43" s="6749"/>
      <c r="W43" s="6750"/>
      <c r="X43" s="6750"/>
      <c r="Y43" s="6750"/>
      <c r="Z43" s="6750"/>
      <c r="AA43" s="6750"/>
      <c r="AB43" s="6750"/>
      <c r="AC43" s="6751"/>
      <c r="AD43" s="6749" t="str">
        <f>INDEX(PT_DIFFERENTIATION_NTAR,MATCH(A43,PT_DIFFERENTIATION_NTAR_ID,0))</f>
        <v/>
      </c>
      <c r="AE43" s="6750"/>
      <c r="AF43" s="6750"/>
      <c r="AG43" s="6750"/>
      <c r="AH43" s="6750"/>
      <c r="AI43" s="6750"/>
      <c r="AJ43" s="6750"/>
      <c r="AK43" s="6750"/>
      <c r="AL43" s="67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216</v>
      </c>
      <c r="B44" s="1279" t="s">
        <v>217</v>
      </c>
      <c r="C44" s="1279"/>
      <c r="D44" s="1279"/>
      <c r="E44" s="6764"/>
      <c r="F44" s="6763">
        <v>1</v>
      </c>
      <c r="G44" s="1279"/>
      <c r="H44" s="1279"/>
      <c r="I44" s="1279"/>
      <c r="J44" s="1279"/>
      <c r="K44" s="1279"/>
      <c r="L44" s="1280"/>
      <c r="M44" s="1281"/>
      <c r="N44" s="1281"/>
      <c r="O44" s="1281"/>
      <c r="P44" s="448"/>
      <c r="Q44" s="277"/>
      <c r="R44" s="278"/>
      <c r="S44" s="1132" t="str">
        <f>INDEX(PT_DIFFERENTIATION_NUM_TER,MATCH(B44,PT_DIFFERENTIATION_TER_ID,0))</f>
        <v>.</v>
      </c>
      <c r="T44" s="229" t="s">
        <v>517</v>
      </c>
      <c r="U44" s="219"/>
      <c r="V44" s="6749"/>
      <c r="W44" s="6750"/>
      <c r="X44" s="6750"/>
      <c r="Y44" s="6750"/>
      <c r="Z44" s="6750"/>
      <c r="AA44" s="6750"/>
      <c r="AB44" s="6750"/>
      <c r="AC44" s="6751"/>
      <c r="AD44" s="6749" t="str">
        <f>INDEX(PT_DIFFERENTIATION_TER,MATCH(B44,PT_DIFFERENTIATION_TER_ID,0))</f>
        <v/>
      </c>
      <c r="AE44" s="6750"/>
      <c r="AF44" s="6750"/>
      <c r="AG44" s="6750"/>
      <c r="AH44" s="6750"/>
      <c r="AI44" s="6750"/>
      <c r="AJ44" s="6750"/>
      <c r="AK44" s="6750"/>
      <c r="AL44" s="6751"/>
      <c r="AM44" s="1177" t="s">
        <v>518</v>
      </c>
      <c r="AO44" s="426"/>
      <c r="AP44" s="426" t="str">
        <f t="shared" si="1"/>
        <v>Территория действия тарифа</v>
      </c>
      <c r="AQ44" s="426"/>
      <c r="AR44" s="426"/>
    </row>
    <row r="45" spans="1:44" ht="23.25" customHeight="1">
      <c r="A45" s="1279" t="s">
        <v>216</v>
      </c>
      <c r="B45" s="1279" t="s">
        <v>217</v>
      </c>
      <c r="C45" s="1279" t="s">
        <v>218</v>
      </c>
      <c r="D45" s="1279"/>
      <c r="E45" s="6764"/>
      <c r="F45" s="6764"/>
      <c r="G45" s="6763">
        <v>1</v>
      </c>
      <c r="H45" s="1279"/>
      <c r="I45" s="1279"/>
      <c r="J45" s="1279"/>
      <c r="K45" s="1279"/>
      <c r="L45" s="1280"/>
      <c r="M45" s="1281"/>
      <c r="N45" s="1281"/>
      <c r="O45" s="1281"/>
      <c r="P45" s="279"/>
      <c r="Q45" s="277"/>
      <c r="R45" s="278"/>
      <c r="S45" s="1132" t="str">
        <f>INDEX(PT_DIFFERENTIATION_NUM_CS,MATCH(C45,PT_DIFFERENTIATION_CS_ID,0))</f>
        <v>..</v>
      </c>
      <c r="T45" s="230" t="s">
        <v>519</v>
      </c>
      <c r="U45" s="219"/>
      <c r="V45" s="6749"/>
      <c r="W45" s="6750"/>
      <c r="X45" s="6750"/>
      <c r="Y45" s="6750"/>
      <c r="Z45" s="6750"/>
      <c r="AA45" s="6750"/>
      <c r="AB45" s="6750"/>
      <c r="AC45" s="6751"/>
      <c r="AD45" s="6749" t="str">
        <f>INDEX(PT_DIFFERENTIATION_CS,MATCH(C45,PT_DIFFERENTIATION_CS_ID,0))</f>
        <v/>
      </c>
      <c r="AE45" s="6750"/>
      <c r="AF45" s="6750"/>
      <c r="AG45" s="6750"/>
      <c r="AH45" s="6750"/>
      <c r="AI45" s="6750"/>
      <c r="AJ45" s="6750"/>
      <c r="AK45" s="6750"/>
      <c r="AL45" s="6751"/>
      <c r="AM45" s="1177" t="s">
        <v>520</v>
      </c>
      <c r="AO45" s="426"/>
      <c r="AP45" s="426" t="str">
        <f t="shared" si="1"/>
        <v xml:space="preserve">Наименование системы теплоснабжения </v>
      </c>
      <c r="AQ45" s="426"/>
      <c r="AR45" s="426"/>
    </row>
    <row r="46" spans="1:44" ht="23.25" customHeight="1">
      <c r="A46" s="1279" t="s">
        <v>216</v>
      </c>
      <c r="B46" s="1279" t="s">
        <v>217</v>
      </c>
      <c r="C46" s="1279" t="s">
        <v>218</v>
      </c>
      <c r="D46" s="1279" t="s">
        <v>219</v>
      </c>
      <c r="E46" s="6764"/>
      <c r="F46" s="6764"/>
      <c r="G46" s="6764"/>
      <c r="H46" s="6763">
        <v>1</v>
      </c>
      <c r="I46" s="1279"/>
      <c r="J46" s="1279"/>
      <c r="K46" s="1279"/>
      <c r="L46" s="1280"/>
      <c r="M46" s="1281"/>
      <c r="N46" s="1281"/>
      <c r="O46" s="1281"/>
      <c r="P46" s="279"/>
      <c r="Q46" s="277"/>
      <c r="R46" s="278"/>
      <c r="S46" s="1132" t="str">
        <f>INDEX(PT_DIFFERENTIATION_NUM_IST_TE,MATCH(D46,PT_DIFFERENTIATION_IST_TE_ID,0))</f>
        <v>...</v>
      </c>
      <c r="T46" s="231" t="s">
        <v>521</v>
      </c>
      <c r="U46" s="219"/>
      <c r="V46" s="6749"/>
      <c r="W46" s="6750"/>
      <c r="X46" s="6750"/>
      <c r="Y46" s="6750"/>
      <c r="Z46" s="6750"/>
      <c r="AA46" s="6750"/>
      <c r="AB46" s="6750"/>
      <c r="AC46" s="6751"/>
      <c r="AD46" s="6749" t="str">
        <f>INDEX(PT_DIFFERENTIATION_IST_TE,MATCH(D46,PT_DIFFERENTIATION_IST_TE_ID,0))</f>
        <v/>
      </c>
      <c r="AE46" s="6750"/>
      <c r="AF46" s="6750"/>
      <c r="AG46" s="6750"/>
      <c r="AH46" s="6750"/>
      <c r="AI46" s="6750"/>
      <c r="AJ46" s="6750"/>
      <c r="AK46" s="6750"/>
      <c r="AL46" s="6751"/>
      <c r="AM46" s="1177" t="s">
        <v>522</v>
      </c>
      <c r="AO46" s="426"/>
      <c r="AP46" s="426" t="str">
        <f t="shared" si="1"/>
        <v xml:space="preserve">Источник тепловой энергии  </v>
      </c>
      <c r="AQ46" s="426"/>
      <c r="AR46" s="426"/>
    </row>
    <row r="47" spans="1:44" ht="47.25" customHeight="1">
      <c r="A47" s="1279" t="s">
        <v>216</v>
      </c>
      <c r="B47" s="1279" t="s">
        <v>217</v>
      </c>
      <c r="C47" s="1279" t="s">
        <v>218</v>
      </c>
      <c r="D47" s="1279" t="s">
        <v>219</v>
      </c>
      <c r="E47" s="6764"/>
      <c r="F47" s="6764"/>
      <c r="G47" s="6764"/>
      <c r="H47" s="6764"/>
      <c r="I47" s="6761" t="str">
        <f>S46&amp;".1"</f>
        <v>....1</v>
      </c>
      <c r="J47" s="1279"/>
      <c r="K47" s="1279"/>
      <c r="L47" s="1280" t="s">
        <v>523</v>
      </c>
      <c r="P47" s="6762">
        <v>1</v>
      </c>
      <c r="Q47" s="1126"/>
      <c r="R47" s="281"/>
      <c r="S47" s="1132" t="str">
        <f>$I47</f>
        <v>....1</v>
      </c>
      <c r="T47" s="204" t="s">
        <v>524</v>
      </c>
      <c r="U47" s="219"/>
      <c r="V47" s="6752"/>
      <c r="W47" s="6753"/>
      <c r="X47" s="6753"/>
      <c r="Y47" s="6753"/>
      <c r="Z47" s="6753"/>
      <c r="AA47" s="6753"/>
      <c r="AB47" s="6753"/>
      <c r="AC47" s="6754"/>
      <c r="AD47" s="6752"/>
      <c r="AE47" s="6753"/>
      <c r="AF47" s="6753"/>
      <c r="AG47" s="6753"/>
      <c r="AH47" s="6753"/>
      <c r="AI47" s="6753"/>
      <c r="AJ47" s="6753"/>
      <c r="AK47" s="6753"/>
      <c r="AL47" s="6754"/>
      <c r="AM47" s="1177" t="s">
        <v>525</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216</v>
      </c>
      <c r="B48" s="1279" t="s">
        <v>217</v>
      </c>
      <c r="C48" s="1279" t="s">
        <v>218</v>
      </c>
      <c r="D48" s="1279" t="s">
        <v>219</v>
      </c>
      <c r="E48" s="6764"/>
      <c r="F48" s="6764"/>
      <c r="G48" s="6764"/>
      <c r="H48" s="6764"/>
      <c r="I48" s="6784"/>
      <c r="J48" s="6761" t="str">
        <f>I47&amp;".1"</f>
        <v>....1.1</v>
      </c>
      <c r="K48" s="1279"/>
      <c r="L48" s="1280" t="s">
        <v>526</v>
      </c>
      <c r="P48" s="6762"/>
      <c r="Q48" s="6762">
        <v>1</v>
      </c>
      <c r="R48" s="282"/>
      <c r="S48" s="1132" t="str">
        <f>$J48</f>
        <v>....1.1</v>
      </c>
      <c r="T48" s="205" t="s">
        <v>527</v>
      </c>
      <c r="U48" s="219"/>
      <c r="V48" s="6752"/>
      <c r="W48" s="6753"/>
      <c r="X48" s="6753"/>
      <c r="Y48" s="6753"/>
      <c r="Z48" s="6753"/>
      <c r="AA48" s="6753"/>
      <c r="AB48" s="6753"/>
      <c r="AC48" s="6754"/>
      <c r="AD48" s="6752"/>
      <c r="AE48" s="6753"/>
      <c r="AF48" s="6753"/>
      <c r="AG48" s="6753"/>
      <c r="AH48" s="6753"/>
      <c r="AI48" s="6753"/>
      <c r="AJ48" s="6753"/>
      <c r="AK48" s="6753"/>
      <c r="AL48" s="6754"/>
      <c r="AM48" s="1177" t="s">
        <v>528</v>
      </c>
      <c r="AO48" s="426"/>
      <c r="AP48" s="426" t="str">
        <f t="shared" si="1"/>
        <v>Группа потребителей</v>
      </c>
      <c r="AQ48" s="426"/>
      <c r="AR48" s="426"/>
    </row>
    <row r="49" spans="1:44" ht="23.25" customHeight="1">
      <c r="A49" s="1279" t="s">
        <v>216</v>
      </c>
      <c r="B49" s="1279" t="s">
        <v>217</v>
      </c>
      <c r="C49" s="1279" t="s">
        <v>218</v>
      </c>
      <c r="D49" s="1279" t="s">
        <v>219</v>
      </c>
      <c r="E49" s="6764"/>
      <c r="F49" s="6764"/>
      <c r="G49" s="6764"/>
      <c r="H49" s="6764"/>
      <c r="I49" s="6784"/>
      <c r="J49" s="6784"/>
      <c r="K49" s="6761" t="str">
        <f>J48&amp;".1"</f>
        <v>....1.1.1</v>
      </c>
      <c r="L49" s="1280" t="s">
        <v>529</v>
      </c>
      <c r="P49" s="6762"/>
      <c r="Q49" s="6762"/>
      <c r="R49" s="282">
        <v>1</v>
      </c>
      <c r="S49" s="1132" t="str">
        <f>$K49</f>
        <v>....1.1.1</v>
      </c>
      <c r="T49" s="1264"/>
      <c r="U49" s="219"/>
      <c r="V49" s="668"/>
      <c r="W49" s="251"/>
      <c r="X49" s="668"/>
      <c r="Y49" s="1176"/>
      <c r="Z49" s="6766"/>
      <c r="AA49" s="6610" t="s">
        <v>61</v>
      </c>
      <c r="AB49" s="6766"/>
      <c r="AC49" s="6610" t="s">
        <v>61</v>
      </c>
      <c r="AD49" s="668"/>
      <c r="AE49" s="251"/>
      <c r="AF49" s="668"/>
      <c r="AG49" s="1176"/>
      <c r="AH49" s="6766"/>
      <c r="AI49" s="6610" t="s">
        <v>61</v>
      </c>
      <c r="AJ49" s="6785"/>
      <c r="AK49" s="6610" t="s">
        <v>61</v>
      </c>
      <c r="AL49" s="1265"/>
      <c r="AM49" s="6758" t="s">
        <v>530</v>
      </c>
      <c r="AN49" s="437" t="e">
        <f ca="1">STRCHECKDATE(V50:AL50)</f>
        <v>#NAME?</v>
      </c>
      <c r="AO49" s="426"/>
      <c r="AP49" s="426" t="str">
        <f t="shared" si="1"/>
        <v/>
      </c>
      <c r="AQ49" s="426"/>
      <c r="AR49" s="426"/>
    </row>
    <row r="50" spans="1:44" ht="0.75" customHeight="1">
      <c r="A50" s="1279" t="s">
        <v>216</v>
      </c>
      <c r="B50" s="1279" t="s">
        <v>217</v>
      </c>
      <c r="C50" s="1279" t="s">
        <v>218</v>
      </c>
      <c r="D50" s="1279" t="s">
        <v>219</v>
      </c>
      <c r="E50" s="6764"/>
      <c r="F50" s="6764"/>
      <c r="G50" s="6764"/>
      <c r="H50" s="6764"/>
      <c r="I50" s="6784"/>
      <c r="J50" s="6784"/>
      <c r="K50" s="6761"/>
      <c r="L50" s="1280"/>
      <c r="P50" s="6762"/>
      <c r="Q50" s="6762"/>
      <c r="R50" s="282"/>
      <c r="S50" s="1130"/>
      <c r="T50" s="219"/>
      <c r="U50" s="219"/>
      <c r="V50" s="251"/>
      <c r="W50" s="251"/>
      <c r="X50" s="251"/>
      <c r="Y50" s="255" t="str">
        <f>Z49&amp;"-"&amp;AB49</f>
        <v>-</v>
      </c>
      <c r="Z50" s="6767"/>
      <c r="AA50" s="6610"/>
      <c r="AB50" s="6767"/>
      <c r="AC50" s="6610"/>
      <c r="AD50" s="251"/>
      <c r="AE50" s="251"/>
      <c r="AF50" s="251"/>
      <c r="AG50" s="255" t="str">
        <f>AH49&amp;"-"&amp;AJ49</f>
        <v>-</v>
      </c>
      <c r="AH50" s="6767"/>
      <c r="AI50" s="6610"/>
      <c r="AJ50" s="6786"/>
      <c r="AK50" s="6610"/>
      <c r="AL50" s="1266"/>
      <c r="AM50" s="6759"/>
      <c r="AO50" s="426"/>
      <c r="AP50" s="426" t="str">
        <f t="shared" si="1"/>
        <v/>
      </c>
      <c r="AQ50" s="426"/>
      <c r="AR50" s="426"/>
    </row>
    <row r="51" spans="1:44" ht="11.25" customHeight="1">
      <c r="A51" s="1279" t="s">
        <v>216</v>
      </c>
      <c r="B51" s="1279" t="s">
        <v>217</v>
      </c>
      <c r="C51" s="1279" t="s">
        <v>218</v>
      </c>
      <c r="D51" s="1279" t="s">
        <v>219</v>
      </c>
      <c r="E51" s="6764"/>
      <c r="F51" s="6764"/>
      <c r="G51" s="6764"/>
      <c r="H51" s="6764"/>
      <c r="I51" s="6784"/>
      <c r="J51" s="6761"/>
      <c r="K51" s="1279"/>
      <c r="L51" s="1280"/>
      <c r="P51" s="6762"/>
      <c r="Q51" s="6762"/>
      <c r="R51" s="281"/>
      <c r="S51" s="1198"/>
      <c r="T51" s="207" t="s">
        <v>531</v>
      </c>
      <c r="U51" s="295"/>
      <c r="V51" s="295"/>
      <c r="W51" s="295"/>
      <c r="X51" s="295"/>
      <c r="Y51" s="295"/>
      <c r="Z51" s="295"/>
      <c r="AA51" s="295"/>
      <c r="AB51" s="295"/>
      <c r="AC51" s="295"/>
      <c r="AD51" s="295"/>
      <c r="AE51" s="295"/>
      <c r="AF51" s="295"/>
      <c r="AG51" s="295"/>
      <c r="AH51" s="295"/>
      <c r="AI51" s="295"/>
      <c r="AJ51" s="295"/>
      <c r="AK51" s="295"/>
      <c r="AL51" s="250"/>
      <c r="AM51" s="6760"/>
      <c r="AO51" s="426"/>
      <c r="AP51" s="426" t="str">
        <f t="shared" si="1"/>
        <v>Добавить вид теплоносителя (параметры теплоносителя)</v>
      </c>
      <c r="AQ51" s="426"/>
      <c r="AR51" s="426"/>
    </row>
    <row r="52" spans="1:44" ht="11.25" customHeight="1">
      <c r="A52" s="1279" t="s">
        <v>216</v>
      </c>
      <c r="B52" s="1279" t="s">
        <v>217</v>
      </c>
      <c r="C52" s="1279" t="s">
        <v>218</v>
      </c>
      <c r="D52" s="1279" t="s">
        <v>219</v>
      </c>
      <c r="E52" s="6764"/>
      <c r="F52" s="6764"/>
      <c r="G52" s="6764"/>
      <c r="H52" s="6764"/>
      <c r="I52" s="6761"/>
      <c r="J52" s="1279"/>
      <c r="K52" s="1279"/>
      <c r="L52" s="1280"/>
      <c r="P52" s="6762"/>
      <c r="Q52" s="1126"/>
      <c r="R52" s="281"/>
      <c r="S52" s="1198"/>
      <c r="T52" s="206" t="s">
        <v>532</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216</v>
      </c>
      <c r="B53" s="1279" t="s">
        <v>217</v>
      </c>
      <c r="C53" s="1279" t="s">
        <v>218</v>
      </c>
      <c r="D53" s="1279" t="s">
        <v>219</v>
      </c>
      <c r="E53" s="6764"/>
      <c r="F53" s="6764"/>
      <c r="G53" s="6764"/>
      <c r="H53" s="6763"/>
      <c r="I53" s="1279"/>
      <c r="J53" s="1279"/>
      <c r="K53" s="1279"/>
      <c r="L53" s="1280"/>
      <c r="M53" s="1281"/>
      <c r="N53" s="1281"/>
      <c r="O53" s="462"/>
      <c r="P53" s="285"/>
      <c r="Q53" s="304"/>
      <c r="R53" s="280"/>
      <c r="S53" s="1198"/>
      <c r="T53" s="292" t="s">
        <v>533</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2067" customFormat="1" ht="0.75" customHeight="1">
      <c r="A54" s="1260" t="s">
        <v>216</v>
      </c>
      <c r="B54" s="1260" t="s">
        <v>217</v>
      </c>
      <c r="C54" s="1260" t="s">
        <v>218</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067" customFormat="1" ht="0.75" customHeight="1">
      <c r="A55" s="1260" t="s">
        <v>216</v>
      </c>
      <c r="B55" s="1260" t="s">
        <v>217</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216</v>
      </c>
      <c r="B56" s="1260"/>
      <c r="C56" s="1260"/>
      <c r="D56" s="1260"/>
      <c r="E56" s="6763"/>
      <c r="F56" s="1260"/>
      <c r="G56" s="1260"/>
      <c r="H56" s="1260"/>
      <c r="I56" s="1260"/>
      <c r="J56" s="1260"/>
      <c r="K56" s="1260"/>
      <c r="L56" s="1263"/>
      <c r="M56" s="1239"/>
      <c r="N56" s="1239"/>
      <c r="O56" s="444"/>
      <c r="P56" s="313"/>
      <c r="Q56" s="1261"/>
      <c r="R56" s="313"/>
      <c r="S56" s="1240"/>
      <c r="T56" s="1243" t="s">
        <v>272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067"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273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6783"/>
      <c r="U59" s="6783"/>
      <c r="V59" s="6783"/>
      <c r="W59" s="6783"/>
      <c r="X59" s="6783"/>
      <c r="Y59" s="6783"/>
      <c r="Z59" s="6783"/>
      <c r="AA59" s="6783"/>
      <c r="AB59" s="6783"/>
      <c r="AC59" s="6783"/>
      <c r="AD59" s="6783"/>
      <c r="AE59" s="6783"/>
      <c r="AF59" s="6783"/>
      <c r="AG59" s="6783"/>
      <c r="AH59" s="6783"/>
      <c r="AI59" s="6783"/>
      <c r="AJ59" s="6783"/>
      <c r="AK59" s="6783"/>
      <c r="AL59" s="6783"/>
      <c r="AM59" s="6783"/>
    </row>
    <row r="60" spans="1:44" ht="64.5" customHeight="1">
      <c r="O60" s="462"/>
      <c r="P60" s="1222"/>
      <c r="T60" s="6783"/>
      <c r="U60" s="6783"/>
      <c r="V60" s="6783"/>
      <c r="W60" s="6783"/>
      <c r="X60" s="6783"/>
      <c r="Y60" s="6783"/>
      <c r="Z60" s="6783"/>
      <c r="AA60" s="6783"/>
      <c r="AB60" s="6783"/>
      <c r="AC60" s="6783"/>
      <c r="AD60" s="6783"/>
      <c r="AE60" s="6783"/>
      <c r="AF60" s="6783"/>
      <c r="AG60" s="6783"/>
      <c r="AH60" s="6783"/>
      <c r="AI60" s="6783"/>
      <c r="AJ60" s="6783"/>
      <c r="AK60" s="6783"/>
      <c r="AL60" s="6783"/>
      <c r="AM60" s="6783"/>
    </row>
    <row r="61" spans="1:44" ht="14.25" customHeight="1">
      <c r="O61" s="462"/>
    </row>
    <row r="62" spans="1:44" ht="18" customHeight="1">
      <c r="O62" s="462"/>
      <c r="P62" s="1245"/>
      <c r="S62" s="1164"/>
      <c r="T62" s="6783"/>
      <c r="U62" s="6783"/>
      <c r="V62" s="6783"/>
      <c r="W62" s="6783"/>
      <c r="X62" s="6783"/>
      <c r="Y62" s="6783"/>
      <c r="Z62" s="6783"/>
      <c r="AA62" s="6783"/>
      <c r="AB62" s="6783"/>
      <c r="AC62" s="6783"/>
      <c r="AD62" s="6783"/>
      <c r="AE62" s="6783"/>
      <c r="AF62" s="6783"/>
      <c r="AG62" s="6783"/>
      <c r="AH62" s="6783"/>
      <c r="AI62" s="6783"/>
      <c r="AJ62" s="6783"/>
      <c r="AK62" s="6783"/>
      <c r="AL62" s="6783"/>
      <c r="AM62" s="6783"/>
    </row>
    <row r="63" spans="1:44" ht="18" customHeight="1">
      <c r="O63" s="462"/>
      <c r="P63" s="1245"/>
      <c r="T63" s="6783"/>
      <c r="U63" s="6783"/>
      <c r="V63" s="6783"/>
      <c r="W63" s="6783"/>
      <c r="X63" s="6783"/>
      <c r="Y63" s="6783"/>
      <c r="Z63" s="6783"/>
      <c r="AA63" s="6783"/>
      <c r="AB63" s="6783"/>
      <c r="AC63" s="6783"/>
      <c r="AD63" s="6783"/>
      <c r="AE63" s="6783"/>
      <c r="AF63" s="6783"/>
      <c r="AG63" s="6783"/>
      <c r="AH63" s="6783"/>
      <c r="AI63" s="6783"/>
      <c r="AJ63" s="6783"/>
      <c r="AK63" s="6783"/>
      <c r="AL63" s="6783"/>
      <c r="AM63" s="6783"/>
    </row>
    <row r="64" spans="1:44" ht="27.75" customHeight="1">
      <c r="O64" s="462"/>
      <c r="P64" s="1245"/>
      <c r="S64" s="1164"/>
      <c r="T64" s="6783"/>
      <c r="U64" s="6783"/>
      <c r="V64" s="6783"/>
      <c r="W64" s="6783"/>
      <c r="X64" s="6783"/>
      <c r="Y64" s="6783"/>
      <c r="Z64" s="6783"/>
      <c r="AA64" s="6783"/>
      <c r="AB64" s="6783"/>
      <c r="AC64" s="6783"/>
      <c r="AD64" s="6783"/>
      <c r="AE64" s="6783"/>
      <c r="AF64" s="6783"/>
      <c r="AG64" s="6783"/>
      <c r="AH64" s="6783"/>
      <c r="AI64" s="6783"/>
      <c r="AJ64" s="6783"/>
      <c r="AK64" s="6783"/>
      <c r="AL64" s="6783"/>
      <c r="AM64" s="678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F232"/>
  <sheetViews>
    <sheetView showGridLines="0" topLeftCell="P25" zoomScale="90" workbookViewId="0">
      <selection activeCell="BK221" sqref="BK221"/>
    </sheetView>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3" customWidth="1"/>
    <col min="17" max="18" width="3.7109375" style="2075" customWidth="1"/>
    <col min="19" max="19" width="12.7109375" style="2076" customWidth="1"/>
    <col min="20" max="20" width="32" style="2042" customWidth="1"/>
    <col min="21" max="21" width="0.140625" style="2042" customWidth="1"/>
    <col min="22" max="22" width="24.7109375" style="2042" hidden="1" customWidth="1"/>
    <col min="23" max="23" width="0.140625" style="2042" hidden="1" customWidth="1"/>
    <col min="24" max="25" width="24.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24.7109375" style="2042" customWidth="1"/>
    <col min="31" max="31" width="0.140625" style="2042" customWidth="1"/>
    <col min="32" max="33" width="24.7109375" style="2042" customWidth="1"/>
    <col min="34" max="34" width="11.7109375" style="2042" customWidth="1"/>
    <col min="35" max="35" width="3.7109375" style="2042" customWidth="1"/>
    <col min="36" max="36" width="11.7109375" style="2042" customWidth="1"/>
    <col min="37" max="37" width="8.5703125" style="2042" customWidth="1"/>
    <col min="77" max="77" width="10.5703125" hidden="1"/>
    <col min="78" max="78" width="4.7109375" style="2042" customWidth="1"/>
    <col min="79" max="79" width="115.7109375" style="2042" customWidth="1"/>
    <col min="80" max="81" width="10.5703125" style="1817"/>
    <col min="82" max="82" width="11.140625" style="1817" customWidth="1"/>
    <col min="83" max="84" width="10.5703125" style="1817"/>
  </cols>
  <sheetData>
    <row r="1" spans="1:84" ht="14.25" hidden="1" customHeight="1">
      <c r="Y1" s="254"/>
      <c r="Z1" s="254"/>
      <c r="AG1" s="254"/>
      <c r="AH1" s="254"/>
      <c r="AL1" s="2077"/>
      <c r="AM1" s="2077"/>
      <c r="AN1" s="2077"/>
      <c r="AO1" s="2077"/>
      <c r="AP1" s="2077"/>
      <c r="AQ1" s="2077"/>
      <c r="AR1" s="2077"/>
      <c r="AS1" s="2077"/>
      <c r="AT1" s="2077"/>
      <c r="AU1" s="2077"/>
      <c r="AV1" s="2077"/>
      <c r="AW1" s="2077"/>
      <c r="AX1" s="2077"/>
      <c r="AY1" s="2077"/>
      <c r="AZ1" s="2077"/>
      <c r="BA1" s="2077"/>
      <c r="BB1" s="2077"/>
      <c r="BC1" s="2077"/>
      <c r="BD1" s="2077"/>
      <c r="BE1" s="2077"/>
      <c r="BF1" s="2077"/>
      <c r="BG1" s="2077"/>
      <c r="BH1" s="2077"/>
      <c r="BI1" s="2077"/>
      <c r="BJ1" s="2077"/>
      <c r="BK1" s="2077"/>
      <c r="BL1" s="2077"/>
      <c r="BM1" s="2077"/>
      <c r="BN1" s="2077"/>
      <c r="BO1" s="2077"/>
      <c r="BP1" s="2077"/>
      <c r="BQ1" s="2077"/>
      <c r="BR1" s="2077"/>
      <c r="BS1" s="2077"/>
      <c r="BT1" s="2077"/>
      <c r="BU1" s="2077"/>
      <c r="BV1" s="2077"/>
      <c r="BW1" s="2077"/>
      <c r="BX1" s="2077"/>
      <c r="BY1" s="2077"/>
    </row>
    <row r="2" spans="1:84" ht="21" hidden="1" customHeight="1">
      <c r="A2" s="1279"/>
      <c r="B2" s="1279"/>
      <c r="C2" s="1279"/>
      <c r="D2" s="1279"/>
      <c r="E2" s="6763">
        <v>1</v>
      </c>
      <c r="F2" s="1279"/>
      <c r="G2" s="1279"/>
      <c r="H2" s="1279"/>
      <c r="I2" s="1279"/>
      <c r="J2" s="1279"/>
      <c r="K2" s="1279"/>
      <c r="L2" s="1280"/>
      <c r="M2" s="1281"/>
      <c r="N2" s="1281"/>
      <c r="O2" s="1281"/>
      <c r="P2" s="286"/>
      <c r="Q2" s="285"/>
      <c r="R2" s="280"/>
      <c r="S2" s="1253"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49"/>
      <c r="AM2" s="6750"/>
      <c r="AN2" s="6750"/>
      <c r="AO2" s="6750"/>
      <c r="AP2" s="6750"/>
      <c r="AQ2" s="6750"/>
      <c r="AR2" s="6750"/>
      <c r="AS2" s="6751"/>
      <c r="AT2" s="6749"/>
      <c r="AU2" s="6750"/>
      <c r="AV2" s="6750"/>
      <c r="AW2" s="6750"/>
      <c r="AX2" s="6750"/>
      <c r="AY2" s="6750"/>
      <c r="AZ2" s="6750"/>
      <c r="BA2" s="6751"/>
      <c r="BB2" s="6749"/>
      <c r="BC2" s="6750"/>
      <c r="BD2" s="6750"/>
      <c r="BE2" s="6750"/>
      <c r="BF2" s="6750"/>
      <c r="BG2" s="6750"/>
      <c r="BH2" s="6750"/>
      <c r="BI2" s="6751"/>
      <c r="BJ2" s="6749"/>
      <c r="BK2" s="6750"/>
      <c r="BL2" s="6750"/>
      <c r="BM2" s="6750"/>
      <c r="BN2" s="6750"/>
      <c r="BO2" s="6750"/>
      <c r="BP2" s="6750"/>
      <c r="BQ2" s="6751"/>
      <c r="BR2" s="6749"/>
      <c r="BS2" s="6750"/>
      <c r="BT2" s="6750"/>
      <c r="BU2" s="6750"/>
      <c r="BV2" s="6750"/>
      <c r="BW2" s="6750"/>
      <c r="BX2" s="6750"/>
      <c r="BY2" s="6751"/>
      <c r="BZ2" s="6751"/>
      <c r="CA2" s="1177" t="s">
        <v>516</v>
      </c>
      <c r="CC2" s="426"/>
      <c r="CD2" s="426" t="str">
        <f t="shared" ref="CD2:CD15" si="0">IF(T2="","",T2)</f>
        <v>Наименование тарифа</v>
      </c>
      <c r="CE2" s="426"/>
      <c r="CF2" s="426"/>
    </row>
    <row r="3" spans="1:84" ht="21" hidden="1" customHeight="1">
      <c r="A3" s="1279"/>
      <c r="B3" s="1279"/>
      <c r="C3" s="1279"/>
      <c r="D3" s="1279"/>
      <c r="E3" s="6764"/>
      <c r="F3" s="6763">
        <v>1</v>
      </c>
      <c r="G3" s="1279"/>
      <c r="H3" s="1279"/>
      <c r="I3" s="1279"/>
      <c r="J3" s="1279"/>
      <c r="K3" s="1279"/>
      <c r="L3" s="1280"/>
      <c r="M3" s="1281"/>
      <c r="N3" s="1281"/>
      <c r="O3" s="1281"/>
      <c r="P3" s="1249"/>
      <c r="Q3" s="277"/>
      <c r="R3" s="278"/>
      <c r="S3" s="1253"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49"/>
      <c r="AM3" s="6750"/>
      <c r="AN3" s="6750"/>
      <c r="AO3" s="6750"/>
      <c r="AP3" s="6750"/>
      <c r="AQ3" s="6750"/>
      <c r="AR3" s="6750"/>
      <c r="AS3" s="6751"/>
      <c r="AT3" s="6749"/>
      <c r="AU3" s="6750"/>
      <c r="AV3" s="6750"/>
      <c r="AW3" s="6750"/>
      <c r="AX3" s="6750"/>
      <c r="AY3" s="6750"/>
      <c r="AZ3" s="6750"/>
      <c r="BA3" s="6751"/>
      <c r="BB3" s="6749"/>
      <c r="BC3" s="6750"/>
      <c r="BD3" s="6750"/>
      <c r="BE3" s="6750"/>
      <c r="BF3" s="6750"/>
      <c r="BG3" s="6750"/>
      <c r="BH3" s="6750"/>
      <c r="BI3" s="6751"/>
      <c r="BJ3" s="6749"/>
      <c r="BK3" s="6750"/>
      <c r="BL3" s="6750"/>
      <c r="BM3" s="6750"/>
      <c r="BN3" s="6750"/>
      <c r="BO3" s="6750"/>
      <c r="BP3" s="6750"/>
      <c r="BQ3" s="6751"/>
      <c r="BR3" s="6749"/>
      <c r="BS3" s="6750"/>
      <c r="BT3" s="6750"/>
      <c r="BU3" s="6750"/>
      <c r="BV3" s="6750"/>
      <c r="BW3" s="6750"/>
      <c r="BX3" s="6750"/>
      <c r="BY3" s="6751"/>
      <c r="BZ3" s="6751"/>
      <c r="CA3" s="1177" t="s">
        <v>518</v>
      </c>
      <c r="CC3" s="426"/>
      <c r="CD3" s="426" t="str">
        <f t="shared" si="0"/>
        <v>Территория действия тарифа</v>
      </c>
      <c r="CE3" s="426"/>
      <c r="CF3" s="426"/>
    </row>
    <row r="4" spans="1:84" ht="23.25" hidden="1" customHeight="1">
      <c r="A4" s="1279"/>
      <c r="B4" s="1279"/>
      <c r="C4" s="1279"/>
      <c r="D4" s="1279"/>
      <c r="E4" s="6764"/>
      <c r="F4" s="6764"/>
      <c r="G4" s="6763">
        <v>1</v>
      </c>
      <c r="H4" s="1279"/>
      <c r="I4" s="1279"/>
      <c r="J4" s="1279"/>
      <c r="K4" s="1279"/>
      <c r="L4" s="1280"/>
      <c r="M4" s="1281"/>
      <c r="N4" s="1281"/>
      <c r="O4" s="1281"/>
      <c r="P4" s="279"/>
      <c r="Q4" s="277"/>
      <c r="R4" s="278"/>
      <c r="S4" s="1253"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49"/>
      <c r="AM4" s="6750"/>
      <c r="AN4" s="6750"/>
      <c r="AO4" s="6750"/>
      <c r="AP4" s="6750"/>
      <c r="AQ4" s="6750"/>
      <c r="AR4" s="6750"/>
      <c r="AS4" s="6751"/>
      <c r="AT4" s="6749"/>
      <c r="AU4" s="6750"/>
      <c r="AV4" s="6750"/>
      <c r="AW4" s="6750"/>
      <c r="AX4" s="6750"/>
      <c r="AY4" s="6750"/>
      <c r="AZ4" s="6750"/>
      <c r="BA4" s="6751"/>
      <c r="BB4" s="6749"/>
      <c r="BC4" s="6750"/>
      <c r="BD4" s="6750"/>
      <c r="BE4" s="6750"/>
      <c r="BF4" s="6750"/>
      <c r="BG4" s="6750"/>
      <c r="BH4" s="6750"/>
      <c r="BI4" s="6751"/>
      <c r="BJ4" s="6749"/>
      <c r="BK4" s="6750"/>
      <c r="BL4" s="6750"/>
      <c r="BM4" s="6750"/>
      <c r="BN4" s="6750"/>
      <c r="BO4" s="6750"/>
      <c r="BP4" s="6750"/>
      <c r="BQ4" s="6751"/>
      <c r="BR4" s="6749"/>
      <c r="BS4" s="6750"/>
      <c r="BT4" s="6750"/>
      <c r="BU4" s="6750"/>
      <c r="BV4" s="6750"/>
      <c r="BW4" s="6750"/>
      <c r="BX4" s="6750"/>
      <c r="BY4" s="6751"/>
      <c r="BZ4" s="6751"/>
      <c r="CA4" s="1177" t="s">
        <v>520</v>
      </c>
      <c r="CC4" s="426"/>
      <c r="CD4" s="426" t="str">
        <f t="shared" si="0"/>
        <v xml:space="preserve">Наименование системы теплоснабжения </v>
      </c>
      <c r="CE4" s="426"/>
      <c r="CF4" s="426"/>
    </row>
    <row r="5" spans="1:84" ht="21" hidden="1" customHeight="1">
      <c r="A5" s="1279"/>
      <c r="B5" s="1279"/>
      <c r="C5" s="1279"/>
      <c r="D5" s="1279"/>
      <c r="E5" s="6764"/>
      <c r="F5" s="6764"/>
      <c r="G5" s="6764"/>
      <c r="H5" s="6763">
        <v>1</v>
      </c>
      <c r="I5" s="1279"/>
      <c r="J5" s="1279"/>
      <c r="K5" s="1279"/>
      <c r="L5" s="1280"/>
      <c r="M5" s="1281"/>
      <c r="N5" s="1281"/>
      <c r="O5" s="1281"/>
      <c r="P5" s="279"/>
      <c r="Q5" s="277"/>
      <c r="R5" s="278"/>
      <c r="S5" s="1253"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49"/>
      <c r="AM5" s="6750"/>
      <c r="AN5" s="6750"/>
      <c r="AO5" s="6750"/>
      <c r="AP5" s="6750"/>
      <c r="AQ5" s="6750"/>
      <c r="AR5" s="6750"/>
      <c r="AS5" s="6751"/>
      <c r="AT5" s="6749"/>
      <c r="AU5" s="6750"/>
      <c r="AV5" s="6750"/>
      <c r="AW5" s="6750"/>
      <c r="AX5" s="6750"/>
      <c r="AY5" s="6750"/>
      <c r="AZ5" s="6750"/>
      <c r="BA5" s="6751"/>
      <c r="BB5" s="6749"/>
      <c r="BC5" s="6750"/>
      <c r="BD5" s="6750"/>
      <c r="BE5" s="6750"/>
      <c r="BF5" s="6750"/>
      <c r="BG5" s="6750"/>
      <c r="BH5" s="6750"/>
      <c r="BI5" s="6751"/>
      <c r="BJ5" s="6749"/>
      <c r="BK5" s="6750"/>
      <c r="BL5" s="6750"/>
      <c r="BM5" s="6750"/>
      <c r="BN5" s="6750"/>
      <c r="BO5" s="6750"/>
      <c r="BP5" s="6750"/>
      <c r="BQ5" s="6751"/>
      <c r="BR5" s="6749"/>
      <c r="BS5" s="6750"/>
      <c r="BT5" s="6750"/>
      <c r="BU5" s="6750"/>
      <c r="BV5" s="6750"/>
      <c r="BW5" s="6750"/>
      <c r="BX5" s="6750"/>
      <c r="BY5" s="6751"/>
      <c r="BZ5" s="6751"/>
      <c r="CA5" s="1177" t="s">
        <v>522</v>
      </c>
      <c r="CC5" s="426"/>
      <c r="CD5" s="426" t="str">
        <f t="shared" si="0"/>
        <v xml:space="preserve">Источник тепловой энергии  </v>
      </c>
      <c r="CE5" s="426"/>
      <c r="CF5" s="426"/>
    </row>
    <row r="6" spans="1:84" ht="47.25" hidden="1" customHeight="1">
      <c r="A6" s="1279"/>
      <c r="B6" s="1279"/>
      <c r="C6" s="1279"/>
      <c r="D6" s="1279"/>
      <c r="E6" s="6764"/>
      <c r="F6" s="6764"/>
      <c r="G6" s="6764"/>
      <c r="H6" s="6764"/>
      <c r="I6" s="6761" t="e">
        <f>S5&amp;".1"</f>
        <v>#N/A</v>
      </c>
      <c r="J6" s="1279"/>
      <c r="K6" s="1279"/>
      <c r="L6" s="1280" t="s">
        <v>523</v>
      </c>
      <c r="M6" s="462"/>
      <c r="P6" s="6762">
        <v>1</v>
      </c>
      <c r="Q6" s="1248"/>
      <c r="R6" s="281"/>
      <c r="S6" s="1253" t="e">
        <f>$I6</f>
        <v>#N/A</v>
      </c>
      <c r="T6" s="204" t="s">
        <v>524</v>
      </c>
      <c r="U6" s="219"/>
      <c r="V6" s="6752"/>
      <c r="W6" s="6753"/>
      <c r="X6" s="6753"/>
      <c r="Y6" s="6753"/>
      <c r="Z6" s="6753"/>
      <c r="AA6" s="6753"/>
      <c r="AB6" s="6753"/>
      <c r="AC6" s="6754"/>
      <c r="AD6" s="6752"/>
      <c r="AE6" s="6753"/>
      <c r="AF6" s="6753"/>
      <c r="AG6" s="6753"/>
      <c r="AH6" s="6753"/>
      <c r="AI6" s="6753"/>
      <c r="AJ6" s="6753"/>
      <c r="AK6" s="6753"/>
      <c r="AL6" s="6752"/>
      <c r="AM6" s="6753"/>
      <c r="AN6" s="6753"/>
      <c r="AO6" s="6753"/>
      <c r="AP6" s="6753"/>
      <c r="AQ6" s="6753"/>
      <c r="AR6" s="6753"/>
      <c r="AS6" s="6754"/>
      <c r="AT6" s="6752"/>
      <c r="AU6" s="6753"/>
      <c r="AV6" s="6753"/>
      <c r="AW6" s="6753"/>
      <c r="AX6" s="6753"/>
      <c r="AY6" s="6753"/>
      <c r="AZ6" s="6753"/>
      <c r="BA6" s="6754"/>
      <c r="BB6" s="6752"/>
      <c r="BC6" s="6753"/>
      <c r="BD6" s="6753"/>
      <c r="BE6" s="6753"/>
      <c r="BF6" s="6753"/>
      <c r="BG6" s="6753"/>
      <c r="BH6" s="6753"/>
      <c r="BI6" s="6754"/>
      <c r="BJ6" s="6752"/>
      <c r="BK6" s="6753"/>
      <c r="BL6" s="6753"/>
      <c r="BM6" s="6753"/>
      <c r="BN6" s="6753"/>
      <c r="BO6" s="6753"/>
      <c r="BP6" s="6753"/>
      <c r="BQ6" s="6754"/>
      <c r="BR6" s="6752"/>
      <c r="BS6" s="6753"/>
      <c r="BT6" s="6753"/>
      <c r="BU6" s="6753"/>
      <c r="BV6" s="6753"/>
      <c r="BW6" s="6753"/>
      <c r="BX6" s="6753"/>
      <c r="BY6" s="6754"/>
      <c r="BZ6" s="6754"/>
      <c r="CA6" s="1177" t="s">
        <v>525</v>
      </c>
      <c r="CC6" s="426"/>
      <c r="CD6" s="426" t="str">
        <f t="shared" si="0"/>
        <v>Схема подключения теплопотребляющей установки к коллектору источника тепловой энергии</v>
      </c>
      <c r="CE6" s="426"/>
      <c r="CF6" s="426"/>
    </row>
    <row r="7" spans="1:84" ht="21" hidden="1" customHeight="1">
      <c r="A7" s="1279"/>
      <c r="B7" s="1279"/>
      <c r="C7" s="1279"/>
      <c r="D7" s="1279"/>
      <c r="E7" s="6764"/>
      <c r="F7" s="6764"/>
      <c r="G7" s="6764"/>
      <c r="H7" s="6764"/>
      <c r="I7" s="6784"/>
      <c r="J7" s="6761" t="e">
        <f>I6&amp;".1"</f>
        <v>#N/A</v>
      </c>
      <c r="K7" s="1279"/>
      <c r="L7" s="1280" t="s">
        <v>526</v>
      </c>
      <c r="M7" s="462"/>
      <c r="N7" s="1282"/>
      <c r="P7" s="6762"/>
      <c r="Q7" s="6762">
        <v>1</v>
      </c>
      <c r="R7" s="282"/>
      <c r="S7" s="1253" t="e">
        <f>$J7</f>
        <v>#N/A</v>
      </c>
      <c r="T7" s="205" t="s">
        <v>527</v>
      </c>
      <c r="U7" s="219"/>
      <c r="V7" s="6752"/>
      <c r="W7" s="6753"/>
      <c r="X7" s="6753"/>
      <c r="Y7" s="6753"/>
      <c r="Z7" s="6753"/>
      <c r="AA7" s="6753"/>
      <c r="AB7" s="6753"/>
      <c r="AC7" s="6754"/>
      <c r="AD7" s="6752"/>
      <c r="AE7" s="6753"/>
      <c r="AF7" s="6753"/>
      <c r="AG7" s="6753"/>
      <c r="AH7" s="6753"/>
      <c r="AI7" s="6753"/>
      <c r="AJ7" s="6753"/>
      <c r="AK7" s="6753"/>
      <c r="AL7" s="6752"/>
      <c r="AM7" s="6753"/>
      <c r="AN7" s="6753"/>
      <c r="AO7" s="6753"/>
      <c r="AP7" s="6753"/>
      <c r="AQ7" s="6753"/>
      <c r="AR7" s="6753"/>
      <c r="AS7" s="6754"/>
      <c r="AT7" s="6752"/>
      <c r="AU7" s="6753"/>
      <c r="AV7" s="6753"/>
      <c r="AW7" s="6753"/>
      <c r="AX7" s="6753"/>
      <c r="AY7" s="6753"/>
      <c r="AZ7" s="6753"/>
      <c r="BA7" s="6754"/>
      <c r="BB7" s="6752"/>
      <c r="BC7" s="6753"/>
      <c r="BD7" s="6753"/>
      <c r="BE7" s="6753"/>
      <c r="BF7" s="6753"/>
      <c r="BG7" s="6753"/>
      <c r="BH7" s="6753"/>
      <c r="BI7" s="6754"/>
      <c r="BJ7" s="6752"/>
      <c r="BK7" s="6753"/>
      <c r="BL7" s="6753"/>
      <c r="BM7" s="6753"/>
      <c r="BN7" s="6753"/>
      <c r="BO7" s="6753"/>
      <c r="BP7" s="6753"/>
      <c r="BQ7" s="6754"/>
      <c r="BR7" s="6752"/>
      <c r="BS7" s="6753"/>
      <c r="BT7" s="6753"/>
      <c r="BU7" s="6753"/>
      <c r="BV7" s="6753"/>
      <c r="BW7" s="6753"/>
      <c r="BX7" s="6753"/>
      <c r="BY7" s="6754"/>
      <c r="BZ7" s="6754"/>
      <c r="CA7" s="1177" t="s">
        <v>528</v>
      </c>
      <c r="CC7" s="426"/>
      <c r="CD7" s="426" t="str">
        <f t="shared" si="0"/>
        <v>Группа потребителей</v>
      </c>
      <c r="CE7" s="426"/>
      <c r="CF7" s="426"/>
    </row>
    <row r="8" spans="1:8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53" t="e">
        <f>$K8</f>
        <v>#N/A</v>
      </c>
      <c r="T8" s="1264"/>
      <c r="U8" s="219"/>
      <c r="V8" s="668"/>
      <c r="W8" s="251"/>
      <c r="X8" s="668"/>
      <c r="Y8" s="1176"/>
      <c r="Z8" s="6766"/>
      <c r="AA8" s="6610" t="s">
        <v>61</v>
      </c>
      <c r="AB8" s="6766"/>
      <c r="AC8" s="6610" t="s">
        <v>61</v>
      </c>
      <c r="AD8" s="668"/>
      <c r="AE8" s="251"/>
      <c r="AF8" s="668"/>
      <c r="AG8" s="1176"/>
      <c r="AH8" s="6766"/>
      <c r="AI8" s="6610" t="s">
        <v>61</v>
      </c>
      <c r="AJ8" s="6766"/>
      <c r="AK8" s="6610" t="s">
        <v>61</v>
      </c>
      <c r="AL8" s="2078"/>
      <c r="AM8" s="2079"/>
      <c r="AN8" s="2078"/>
      <c r="AO8" s="2080"/>
      <c r="AP8" s="6766"/>
      <c r="AQ8" s="6610" t="s">
        <v>61</v>
      </c>
      <c r="AR8" s="6766"/>
      <c r="AS8" s="6610" t="s">
        <v>61</v>
      </c>
      <c r="AT8" s="2078"/>
      <c r="AU8" s="2079"/>
      <c r="AV8" s="2078"/>
      <c r="AW8" s="2080"/>
      <c r="AX8" s="6766"/>
      <c r="AY8" s="6610" t="s">
        <v>61</v>
      </c>
      <c r="AZ8" s="6766"/>
      <c r="BA8" s="6610" t="s">
        <v>61</v>
      </c>
      <c r="BB8" s="2078"/>
      <c r="BC8" s="2079"/>
      <c r="BD8" s="2078"/>
      <c r="BE8" s="2080"/>
      <c r="BF8" s="6766"/>
      <c r="BG8" s="6610" t="s">
        <v>61</v>
      </c>
      <c r="BH8" s="6766"/>
      <c r="BI8" s="6610" t="s">
        <v>61</v>
      </c>
      <c r="BJ8" s="2078"/>
      <c r="BK8" s="2079"/>
      <c r="BL8" s="2078"/>
      <c r="BM8" s="2080"/>
      <c r="BN8" s="6766"/>
      <c r="BO8" s="6610" t="s">
        <v>61</v>
      </c>
      <c r="BP8" s="6766"/>
      <c r="BQ8" s="6610" t="s">
        <v>61</v>
      </c>
      <c r="BR8" s="2078"/>
      <c r="BS8" s="2079"/>
      <c r="BT8" s="2078"/>
      <c r="BU8" s="2080"/>
      <c r="BV8" s="6766"/>
      <c r="BW8" s="6610" t="s">
        <v>61</v>
      </c>
      <c r="BX8" s="6766"/>
      <c r="BY8" s="6610" t="s">
        <v>61</v>
      </c>
      <c r="BZ8" s="251"/>
      <c r="CA8" s="6758" t="s">
        <v>530</v>
      </c>
      <c r="CB8" s="437" t="e">
        <f ca="1">STRCHECKDATE(V9:BZ9)</f>
        <v>#NAME?</v>
      </c>
      <c r="CC8" s="426"/>
      <c r="CD8" s="426" t="str">
        <f t="shared" si="0"/>
        <v/>
      </c>
      <c r="CE8" s="426"/>
      <c r="CF8" s="426"/>
    </row>
    <row r="9" spans="1:84" ht="0.75" hidden="1" customHeight="1">
      <c r="A9" s="1279"/>
      <c r="B9" s="1279"/>
      <c r="C9" s="1279"/>
      <c r="D9" s="1279"/>
      <c r="E9" s="6764"/>
      <c r="F9" s="6764"/>
      <c r="G9" s="6764"/>
      <c r="H9" s="6764"/>
      <c r="I9" s="6784"/>
      <c r="J9" s="6784"/>
      <c r="K9" s="6761"/>
      <c r="L9" s="1280"/>
      <c r="M9" s="462"/>
      <c r="N9" s="1282"/>
      <c r="O9" s="1282"/>
      <c r="P9" s="6762"/>
      <c r="Q9" s="6762"/>
      <c r="R9" s="282"/>
      <c r="S9" s="1259"/>
      <c r="T9" s="219"/>
      <c r="U9" s="219"/>
      <c r="V9" s="251"/>
      <c r="W9" s="251"/>
      <c r="X9" s="251"/>
      <c r="Y9" s="255" t="str">
        <f>Z8&amp;"-"&amp;AB8</f>
        <v>-</v>
      </c>
      <c r="Z9" s="6767"/>
      <c r="AA9" s="6610"/>
      <c r="AB9" s="6767"/>
      <c r="AC9" s="6610"/>
      <c r="AD9" s="251"/>
      <c r="AE9" s="251"/>
      <c r="AF9" s="251"/>
      <c r="AG9" s="255" t="str">
        <f>AH8&amp;"-"&amp;AJ8</f>
        <v>-</v>
      </c>
      <c r="AH9" s="6767"/>
      <c r="AI9" s="6610"/>
      <c r="AJ9" s="6767"/>
      <c r="AK9" s="6610"/>
      <c r="AL9" s="2079"/>
      <c r="AM9" s="2079"/>
      <c r="AN9" s="2079"/>
      <c r="AO9" s="2082" t="str">
        <f>AP8&amp;"-"&amp;AR8</f>
        <v>-</v>
      </c>
      <c r="AP9" s="6767"/>
      <c r="AQ9" s="6610"/>
      <c r="AR9" s="6767"/>
      <c r="AS9" s="6610"/>
      <c r="AT9" s="2079"/>
      <c r="AU9" s="2079"/>
      <c r="AV9" s="2079"/>
      <c r="AW9" s="2082" t="str">
        <f>AX8&amp;"-"&amp;AZ8</f>
        <v>-</v>
      </c>
      <c r="AX9" s="6767"/>
      <c r="AY9" s="6610"/>
      <c r="AZ9" s="6767"/>
      <c r="BA9" s="6610"/>
      <c r="BB9" s="2079"/>
      <c r="BC9" s="2079"/>
      <c r="BD9" s="2079"/>
      <c r="BE9" s="2082" t="str">
        <f>BF8&amp;"-"&amp;BH8</f>
        <v>-</v>
      </c>
      <c r="BF9" s="6767"/>
      <c r="BG9" s="6610"/>
      <c r="BH9" s="6767"/>
      <c r="BI9" s="6610"/>
      <c r="BJ9" s="2079"/>
      <c r="BK9" s="2079"/>
      <c r="BL9" s="2079"/>
      <c r="BM9" s="2082" t="str">
        <f>BN8&amp;"-"&amp;BP8</f>
        <v>-</v>
      </c>
      <c r="BN9" s="6767"/>
      <c r="BO9" s="6610"/>
      <c r="BP9" s="6767"/>
      <c r="BQ9" s="6610"/>
      <c r="BR9" s="2079"/>
      <c r="BS9" s="2079"/>
      <c r="BT9" s="2079"/>
      <c r="BU9" s="2082" t="str">
        <f>BV8&amp;"-"&amp;BX8</f>
        <v>-</v>
      </c>
      <c r="BV9" s="6767"/>
      <c r="BW9" s="6610"/>
      <c r="BX9" s="6767"/>
      <c r="BY9" s="6610"/>
      <c r="BZ9" s="251"/>
      <c r="CA9" s="6759"/>
      <c r="CC9" s="426"/>
      <c r="CD9" s="426" t="str">
        <f t="shared" si="0"/>
        <v/>
      </c>
      <c r="CE9" s="426"/>
      <c r="CF9" s="426"/>
    </row>
    <row r="10" spans="1:84" ht="15" hidden="1" customHeight="1">
      <c r="A10" s="1279"/>
      <c r="B10" s="1279"/>
      <c r="C10" s="1279"/>
      <c r="D10" s="1279"/>
      <c r="E10" s="6764"/>
      <c r="F10" s="6764"/>
      <c r="G10" s="6764"/>
      <c r="H10" s="6764"/>
      <c r="I10" s="6784"/>
      <c r="J10" s="6761"/>
      <c r="K10" s="1279"/>
      <c r="L10" s="1280"/>
      <c r="M10" s="462"/>
      <c r="N10" s="1282"/>
      <c r="P10" s="6762"/>
      <c r="Q10" s="6762"/>
      <c r="R10" s="281"/>
      <c r="S10" s="1198"/>
      <c r="T10" s="207" t="s">
        <v>531</v>
      </c>
      <c r="U10" s="295"/>
      <c r="V10" s="295"/>
      <c r="W10" s="295"/>
      <c r="X10" s="295"/>
      <c r="Y10" s="295"/>
      <c r="Z10" s="295"/>
      <c r="AA10" s="295"/>
      <c r="AB10" s="295"/>
      <c r="AC10" s="295"/>
      <c r="AD10" s="295"/>
      <c r="AE10" s="295"/>
      <c r="AF10" s="295"/>
      <c r="AG10" s="295"/>
      <c r="AH10" s="295"/>
      <c r="AI10" s="295"/>
      <c r="AJ10" s="295"/>
      <c r="AK10" s="295"/>
      <c r="AL10" s="2083"/>
      <c r="AM10" s="2084"/>
      <c r="AN10" s="2085"/>
      <c r="AO10" s="2086"/>
      <c r="AP10" s="2087"/>
      <c r="AQ10" s="2088"/>
      <c r="AR10" s="2089"/>
      <c r="AS10" s="2090"/>
      <c r="AT10" s="2091"/>
      <c r="AU10" s="2092"/>
      <c r="AV10" s="2093"/>
      <c r="AW10" s="2094"/>
      <c r="AX10" s="2095"/>
      <c r="AY10" s="2096"/>
      <c r="AZ10" s="2097"/>
      <c r="BA10" s="2098"/>
      <c r="BB10" s="2099"/>
      <c r="BC10" s="2100"/>
      <c r="BD10" s="2101"/>
      <c r="BE10" s="2102"/>
      <c r="BF10" s="2103"/>
      <c r="BG10" s="2104"/>
      <c r="BH10" s="2105"/>
      <c r="BI10" s="2106"/>
      <c r="BJ10" s="2107"/>
      <c r="BK10" s="2108"/>
      <c r="BL10" s="2109"/>
      <c r="BM10" s="2110"/>
      <c r="BN10" s="2111"/>
      <c r="BO10" s="2112"/>
      <c r="BP10" s="2113"/>
      <c r="BQ10" s="2114"/>
      <c r="BR10" s="2115"/>
      <c r="BS10" s="2116"/>
      <c r="BT10" s="2117"/>
      <c r="BU10" s="2118"/>
      <c r="BV10" s="2119"/>
      <c r="BW10" s="2120"/>
      <c r="BX10" s="2121"/>
      <c r="BY10" s="2122"/>
      <c r="BZ10" s="250"/>
      <c r="CA10" s="6760"/>
      <c r="CC10" s="426"/>
      <c r="CD10" s="426" t="str">
        <f t="shared" si="0"/>
        <v>Добавить вид теплоносителя (параметры теплоносителя)</v>
      </c>
      <c r="CE10" s="426"/>
      <c r="CF10" s="426"/>
    </row>
    <row r="11" spans="1:84" ht="15" hidden="1" customHeight="1">
      <c r="A11" s="1279"/>
      <c r="B11" s="1279"/>
      <c r="C11" s="1279"/>
      <c r="D11" s="1279"/>
      <c r="E11" s="6764"/>
      <c r="F11" s="6764"/>
      <c r="G11" s="6764"/>
      <c r="H11" s="6764"/>
      <c r="I11" s="6761"/>
      <c r="J11" s="1279"/>
      <c r="K11" s="1279"/>
      <c r="L11" s="1280"/>
      <c r="M11" s="462"/>
      <c r="P11" s="6762"/>
      <c r="Q11" s="1248"/>
      <c r="R11" s="281"/>
      <c r="S11" s="1198"/>
      <c r="T11" s="206" t="s">
        <v>532</v>
      </c>
      <c r="U11" s="295"/>
      <c r="V11" s="295"/>
      <c r="W11" s="295"/>
      <c r="X11" s="295"/>
      <c r="Y11" s="295"/>
      <c r="Z11" s="295"/>
      <c r="AA11" s="295"/>
      <c r="AB11" s="295"/>
      <c r="AC11" s="294"/>
      <c r="AD11" s="295"/>
      <c r="AE11" s="295"/>
      <c r="AF11" s="295"/>
      <c r="AG11" s="295"/>
      <c r="AH11" s="295"/>
      <c r="AI11" s="295"/>
      <c r="AJ11" s="295"/>
      <c r="AK11" s="294"/>
      <c r="AL11" s="2123"/>
      <c r="AM11" s="2124"/>
      <c r="AN11" s="2125"/>
      <c r="AO11" s="2126"/>
      <c r="AP11" s="2127"/>
      <c r="AQ11" s="2128"/>
      <c r="AR11" s="2129"/>
      <c r="AS11" s="2130"/>
      <c r="AT11" s="2131"/>
      <c r="AU11" s="2132"/>
      <c r="AV11" s="2133"/>
      <c r="AW11" s="2134"/>
      <c r="AX11" s="2135"/>
      <c r="AY11" s="2136"/>
      <c r="AZ11" s="2137"/>
      <c r="BA11" s="2138"/>
      <c r="BB11" s="2139"/>
      <c r="BC11" s="2140"/>
      <c r="BD11" s="2141"/>
      <c r="BE11" s="2142"/>
      <c r="BF11" s="2143"/>
      <c r="BG11" s="2144"/>
      <c r="BH11" s="2145"/>
      <c r="BI11" s="2146"/>
      <c r="BJ11" s="2147"/>
      <c r="BK11" s="2148"/>
      <c r="BL11" s="2149"/>
      <c r="BM11" s="2150"/>
      <c r="BN11" s="2151"/>
      <c r="BO11" s="2152"/>
      <c r="BP11" s="2153"/>
      <c r="BQ11" s="2154"/>
      <c r="BR11" s="2155"/>
      <c r="BS11" s="2156"/>
      <c r="BT11" s="2157"/>
      <c r="BU11" s="2158"/>
      <c r="BV11" s="2159"/>
      <c r="BW11" s="2160"/>
      <c r="BX11" s="2161"/>
      <c r="BY11" s="2162"/>
      <c r="BZ11" s="295"/>
      <c r="CA11" s="222"/>
      <c r="CC11" s="426"/>
      <c r="CD11" s="426" t="str">
        <f t="shared" si="0"/>
        <v>Добавить группу потребителей</v>
      </c>
      <c r="CE11" s="426"/>
      <c r="CF11" s="426"/>
    </row>
    <row r="12" spans="1:84" ht="14.25" hidden="1" customHeight="1">
      <c r="A12" s="1279"/>
      <c r="B12" s="1279"/>
      <c r="C12" s="1279"/>
      <c r="D12" s="1279"/>
      <c r="E12" s="6764"/>
      <c r="F12" s="6764"/>
      <c r="G12" s="6764"/>
      <c r="H12" s="6763"/>
      <c r="I12" s="1279"/>
      <c r="J12" s="1279"/>
      <c r="K12" s="1279"/>
      <c r="L12" s="1280"/>
      <c r="M12" s="1281"/>
      <c r="N12" s="1281"/>
      <c r="O12" s="462"/>
      <c r="P12" s="285"/>
      <c r="Q12" s="304"/>
      <c r="R12" s="280"/>
      <c r="S12" s="1198"/>
      <c r="T12" s="292" t="s">
        <v>533</v>
      </c>
      <c r="U12" s="295"/>
      <c r="V12" s="295"/>
      <c r="W12" s="295"/>
      <c r="X12" s="295"/>
      <c r="Y12" s="295"/>
      <c r="Z12" s="295"/>
      <c r="AA12" s="295"/>
      <c r="AB12" s="295"/>
      <c r="AC12" s="294"/>
      <c r="AD12" s="295"/>
      <c r="AE12" s="295"/>
      <c r="AF12" s="295"/>
      <c r="AG12" s="295"/>
      <c r="AH12" s="295"/>
      <c r="AI12" s="295"/>
      <c r="AJ12" s="295"/>
      <c r="AK12" s="294"/>
      <c r="AL12" s="2163"/>
      <c r="AM12" s="2164"/>
      <c r="AN12" s="2165"/>
      <c r="AO12" s="2166"/>
      <c r="AP12" s="2167"/>
      <c r="AQ12" s="2168"/>
      <c r="AR12" s="2169"/>
      <c r="AS12" s="2170"/>
      <c r="AT12" s="2171"/>
      <c r="AU12" s="2172"/>
      <c r="AV12" s="2173"/>
      <c r="AW12" s="2174"/>
      <c r="AX12" s="2175"/>
      <c r="AY12" s="2176"/>
      <c r="AZ12" s="2177"/>
      <c r="BA12" s="2178"/>
      <c r="BB12" s="2179"/>
      <c r="BC12" s="2180"/>
      <c r="BD12" s="2181"/>
      <c r="BE12" s="2182"/>
      <c r="BF12" s="2183"/>
      <c r="BG12" s="2184"/>
      <c r="BH12" s="2185"/>
      <c r="BI12" s="2186"/>
      <c r="BJ12" s="2187"/>
      <c r="BK12" s="2188"/>
      <c r="BL12" s="2189"/>
      <c r="BM12" s="2190"/>
      <c r="BN12" s="2191"/>
      <c r="BO12" s="2192"/>
      <c r="BP12" s="2193"/>
      <c r="BQ12" s="2194"/>
      <c r="BR12" s="2195"/>
      <c r="BS12" s="2196"/>
      <c r="BT12" s="2197"/>
      <c r="BU12" s="2198"/>
      <c r="BV12" s="2199"/>
      <c r="BW12" s="2200"/>
      <c r="BX12" s="2201"/>
      <c r="BY12" s="2202"/>
      <c r="BZ12" s="295"/>
      <c r="CA12" s="222"/>
      <c r="CC12" s="426"/>
      <c r="CD12" s="426" t="str">
        <f t="shared" si="0"/>
        <v>Добавить схему подключения</v>
      </c>
      <c r="CE12" s="426"/>
      <c r="CF12" s="426"/>
    </row>
    <row r="13" spans="1:84" s="2067" customFormat="1" ht="0.7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1238"/>
      <c r="CA13" s="1238"/>
      <c r="CC13" s="706"/>
      <c r="CD13" s="706" t="str">
        <f t="shared" si="0"/>
        <v>Добавить источник для дифференциации</v>
      </c>
      <c r="CE13" s="706"/>
      <c r="CF13" s="706"/>
    </row>
    <row r="14" spans="1:84" s="2067" customFormat="1" ht="0.7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2204"/>
      <c r="AM14" s="2204"/>
      <c r="AN14" s="2204"/>
      <c r="AO14" s="2204"/>
      <c r="AP14" s="2204"/>
      <c r="AQ14" s="2204"/>
      <c r="AR14" s="2204"/>
      <c r="AS14" s="2204"/>
      <c r="AT14" s="2204"/>
      <c r="AU14" s="2204"/>
      <c r="AV14" s="2204"/>
      <c r="AW14" s="2204"/>
      <c r="AX14" s="2204"/>
      <c r="AY14" s="2204"/>
      <c r="AZ14" s="2204"/>
      <c r="BA14" s="2204"/>
      <c r="BB14" s="2204"/>
      <c r="BC14" s="2204"/>
      <c r="BD14" s="2204"/>
      <c r="BE14" s="2204"/>
      <c r="BF14" s="2204"/>
      <c r="BG14" s="2204"/>
      <c r="BH14" s="2204"/>
      <c r="BI14" s="2204"/>
      <c r="BJ14" s="2204"/>
      <c r="BK14" s="2204"/>
      <c r="BL14" s="2204"/>
      <c r="BM14" s="2204"/>
      <c r="BN14" s="2204"/>
      <c r="BO14" s="2204"/>
      <c r="BP14" s="2204"/>
      <c r="BQ14" s="2204"/>
      <c r="BR14" s="2204"/>
      <c r="BS14" s="2204"/>
      <c r="BT14" s="2204"/>
      <c r="BU14" s="2204"/>
      <c r="BV14" s="2204"/>
      <c r="BW14" s="2204"/>
      <c r="BX14" s="2204"/>
      <c r="BY14" s="2204"/>
      <c r="BZ14" s="1242"/>
      <c r="CA14" s="1242"/>
      <c r="CC14" s="706"/>
      <c r="CD14" s="706" t="str">
        <f t="shared" si="0"/>
        <v>Добавить централизованную систему для дифференциации</v>
      </c>
      <c r="CE14" s="706"/>
      <c r="CF14" s="706"/>
    </row>
    <row r="15" spans="1:84" s="2067" customFormat="1" ht="0.7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04"/>
      <c r="BL15" s="2204"/>
      <c r="BM15" s="2204"/>
      <c r="BN15" s="2204"/>
      <c r="BO15" s="2204"/>
      <c r="BP15" s="2204"/>
      <c r="BQ15" s="2204"/>
      <c r="BR15" s="2204"/>
      <c r="BS15" s="2204"/>
      <c r="BT15" s="2204"/>
      <c r="BU15" s="2204"/>
      <c r="BV15" s="2204"/>
      <c r="BW15" s="2204"/>
      <c r="BX15" s="2204"/>
      <c r="BY15" s="2204"/>
      <c r="BZ15" s="1242"/>
      <c r="CA15" s="1242"/>
      <c r="CC15" s="706"/>
      <c r="CD15" s="706" t="str">
        <f t="shared" si="0"/>
        <v>Добавить территорию для дифференциации</v>
      </c>
      <c r="CE15" s="706"/>
      <c r="CF15" s="706"/>
    </row>
    <row r="16" spans="1:84" ht="14.25" hidden="1" customHeight="1">
      <c r="AC16" s="254"/>
      <c r="AK16" s="254"/>
      <c r="AL16" s="2077"/>
      <c r="AM16" s="2077"/>
      <c r="AN16" s="2077"/>
      <c r="AO16" s="2077"/>
      <c r="AP16" s="2077"/>
      <c r="AQ16" s="2077"/>
      <c r="AR16" s="2077"/>
      <c r="AS16" s="2077"/>
      <c r="AT16" s="2077"/>
      <c r="AU16" s="2077"/>
      <c r="AV16" s="2077"/>
      <c r="AW16" s="2077"/>
      <c r="AX16" s="2077"/>
      <c r="AY16" s="2077"/>
      <c r="AZ16" s="2077"/>
      <c r="BA16" s="2077"/>
      <c r="BB16" s="2077"/>
      <c r="BC16" s="2077"/>
      <c r="BD16" s="2077"/>
      <c r="BE16" s="2077"/>
      <c r="BF16" s="2077"/>
      <c r="BG16" s="2077"/>
      <c r="BH16" s="2077"/>
      <c r="BI16" s="2077"/>
      <c r="BJ16" s="2077"/>
      <c r="BK16" s="2077"/>
      <c r="BL16" s="2077"/>
      <c r="BM16" s="2077"/>
      <c r="BN16" s="2077"/>
      <c r="BO16" s="2077"/>
      <c r="BP16" s="2077"/>
      <c r="BQ16" s="2077"/>
      <c r="BR16" s="2077"/>
      <c r="BS16" s="2077"/>
      <c r="BT16" s="2077"/>
      <c r="BU16" s="2077"/>
      <c r="BV16" s="2077"/>
      <c r="BW16" s="2077"/>
      <c r="BX16" s="2077"/>
      <c r="BY16" s="2077"/>
    </row>
    <row r="17" spans="1:84" ht="14.25" hidden="1" customHeight="1">
      <c r="AD17" s="1276"/>
      <c r="AE17" s="1276"/>
      <c r="AF17" s="1276"/>
      <c r="AG17" s="1277"/>
      <c r="AH17" s="6768"/>
      <c r="AI17" s="6769" t="s">
        <v>61</v>
      </c>
      <c r="AJ17" s="6768"/>
      <c r="AK17" s="6769" t="s">
        <v>61</v>
      </c>
      <c r="AL17" s="2077"/>
      <c r="AM17" s="2077"/>
      <c r="AN17" s="2077"/>
      <c r="AO17" s="2077"/>
      <c r="AP17" s="2077"/>
      <c r="AQ17" s="2077"/>
      <c r="AR17" s="2077"/>
      <c r="AS17" s="2077"/>
      <c r="AT17" s="2077"/>
      <c r="AU17" s="2077"/>
      <c r="AV17" s="2077"/>
      <c r="AW17" s="2077"/>
      <c r="AX17" s="2077"/>
      <c r="AY17" s="2077"/>
      <c r="AZ17" s="2077"/>
      <c r="BA17" s="2077"/>
      <c r="BB17" s="2077"/>
      <c r="BC17" s="2077"/>
      <c r="BD17" s="2077"/>
      <c r="BE17" s="2077"/>
      <c r="BF17" s="2077"/>
      <c r="BG17" s="2077"/>
      <c r="BH17" s="2077"/>
      <c r="BI17" s="2077"/>
      <c r="BJ17" s="2077"/>
      <c r="BK17" s="2077"/>
      <c r="BL17" s="2077"/>
      <c r="BM17" s="2077"/>
      <c r="BN17" s="2077"/>
      <c r="BO17" s="2077"/>
      <c r="BP17" s="2077"/>
      <c r="BQ17" s="2077"/>
      <c r="BR17" s="2077"/>
      <c r="BS17" s="2077"/>
      <c r="BT17" s="2077"/>
      <c r="BU17" s="2077"/>
      <c r="BV17" s="2077"/>
      <c r="BW17" s="2077"/>
      <c r="BX17" s="2077"/>
      <c r="BY17" s="2077"/>
    </row>
    <row r="18" spans="1:84" ht="14.25" hidden="1" customHeight="1">
      <c r="AD18" s="1276"/>
      <c r="AE18" s="1276"/>
      <c r="AF18" s="1276"/>
      <c r="AG18" s="255" t="str">
        <f>AH17&amp;"-"&amp;AJ17</f>
        <v>-</v>
      </c>
      <c r="AH18" s="6769"/>
      <c r="AI18" s="6769"/>
      <c r="AJ18" s="6769"/>
      <c r="AK18" s="6769"/>
      <c r="AL18" s="2077"/>
      <c r="AM18" s="2077"/>
      <c r="AN18" s="2077"/>
      <c r="AO18" s="2077"/>
      <c r="AP18" s="2077"/>
      <c r="AQ18" s="2077"/>
      <c r="AR18" s="2077"/>
      <c r="AS18" s="2077"/>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row>
    <row r="19" spans="1:84" ht="14.25" hidden="1" customHeight="1">
      <c r="AK19" s="254"/>
      <c r="AL19" s="2077"/>
      <c r="AM19" s="2077"/>
      <c r="AN19" s="2077"/>
      <c r="AO19" s="2077"/>
      <c r="AP19" s="2077"/>
      <c r="AQ19" s="2077"/>
      <c r="AR19" s="2077"/>
      <c r="AS19" s="207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7"/>
    </row>
    <row r="20" spans="1:84" s="1830" customFormat="1" ht="22.5" hidden="1" customHeight="1">
      <c r="L20" s="1246"/>
      <c r="M20" s="1278"/>
      <c r="N20" s="1278"/>
      <c r="O20" s="1283" t="s">
        <v>534</v>
      </c>
      <c r="P20" s="1278"/>
      <c r="Q20" s="1287"/>
      <c r="R20" s="1287"/>
      <c r="S20" s="648"/>
      <c r="Z20" s="1283"/>
      <c r="AB20" s="1283"/>
      <c r="AC20" s="1282"/>
      <c r="AH20" s="1283"/>
      <c r="AJ20" s="1283"/>
      <c r="AK20" s="1282"/>
      <c r="AL20" s="2205"/>
      <c r="AM20" s="2205"/>
      <c r="AN20" s="2205"/>
      <c r="AO20" s="2205"/>
      <c r="AP20" s="2206"/>
      <c r="AQ20" s="2205"/>
      <c r="AR20" s="2206"/>
      <c r="AS20" s="2205"/>
      <c r="AT20" s="2205"/>
      <c r="AU20" s="2205"/>
      <c r="AV20" s="2205"/>
      <c r="AW20" s="2205"/>
      <c r="AX20" s="2206"/>
      <c r="AY20" s="2205"/>
      <c r="AZ20" s="2206"/>
      <c r="BA20" s="2205"/>
      <c r="BB20" s="2205"/>
      <c r="BC20" s="2205"/>
      <c r="BD20" s="2205"/>
      <c r="BE20" s="2205"/>
      <c r="BF20" s="2206"/>
      <c r="BG20" s="2205"/>
      <c r="BH20" s="2206"/>
      <c r="BI20" s="2205"/>
      <c r="BJ20" s="2205"/>
      <c r="BK20" s="2205"/>
      <c r="BL20" s="2205"/>
      <c r="BM20" s="2205"/>
      <c r="BN20" s="2206"/>
      <c r="BO20" s="2205"/>
      <c r="BP20" s="2206"/>
      <c r="BQ20" s="2205"/>
      <c r="BR20" s="2205"/>
      <c r="BS20" s="2205"/>
      <c r="BT20" s="2205"/>
      <c r="BU20" s="2205"/>
      <c r="BV20" s="2206"/>
      <c r="BW20" s="2205"/>
      <c r="BX20" s="2206"/>
      <c r="BY20" s="2205"/>
      <c r="CB20" s="437"/>
      <c r="CC20" s="437"/>
      <c r="CD20" s="437"/>
      <c r="CE20" s="437"/>
      <c r="CF20" s="437"/>
    </row>
    <row r="21" spans="1:84" s="1830" customFormat="1" ht="14.25" hidden="1" customHeight="1">
      <c r="L21" s="1246"/>
      <c r="M21" s="1278"/>
      <c r="N21" s="1278"/>
      <c r="O21" s="1278"/>
      <c r="P21" s="1278"/>
      <c r="Q21" s="1287"/>
      <c r="R21" s="1287"/>
      <c r="S21" s="648"/>
      <c r="AC21" s="1282"/>
      <c r="AK21" s="1282"/>
      <c r="AL21" s="2205"/>
      <c r="AM21" s="2205"/>
      <c r="AN21" s="2205"/>
      <c r="AO21" s="2205"/>
      <c r="AP21" s="2205"/>
      <c r="AQ21" s="2205"/>
      <c r="AR21" s="2205"/>
      <c r="AS21" s="2205"/>
      <c r="AT21" s="2205"/>
      <c r="AU21" s="2205"/>
      <c r="AV21" s="2205"/>
      <c r="AW21" s="2205"/>
      <c r="AX21" s="2205"/>
      <c r="AY21" s="2205"/>
      <c r="AZ21" s="2205"/>
      <c r="BA21" s="2205"/>
      <c r="BB21" s="2205"/>
      <c r="BC21" s="2205"/>
      <c r="BD21" s="2205"/>
      <c r="BE21" s="2205"/>
      <c r="BF21" s="2205"/>
      <c r="BG21" s="2205"/>
      <c r="BH21" s="2205"/>
      <c r="BI21" s="2205"/>
      <c r="BJ21" s="2205"/>
      <c r="BK21" s="2205"/>
      <c r="BL21" s="2205"/>
      <c r="BM21" s="2205"/>
      <c r="BN21" s="2205"/>
      <c r="BO21" s="2205"/>
      <c r="BP21" s="2205"/>
      <c r="BQ21" s="2205"/>
      <c r="BR21" s="2205"/>
      <c r="BS21" s="2205"/>
      <c r="BT21" s="2205"/>
      <c r="BU21" s="2205"/>
      <c r="BV21" s="2205"/>
      <c r="BW21" s="2205"/>
      <c r="BX21" s="2205"/>
      <c r="BY21" s="2205"/>
      <c r="CB21" s="437"/>
      <c r="CC21" s="437"/>
      <c r="CD21" s="437"/>
      <c r="CE21" s="437"/>
      <c r="CF21" s="437"/>
    </row>
    <row r="22" spans="1:84" s="1830" customFormat="1" ht="14.2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L22" s="2205"/>
      <c r="AM22" s="2205"/>
      <c r="AN22" s="2205"/>
      <c r="AO22" s="2205"/>
      <c r="AP22" s="2205"/>
      <c r="AQ22" s="2207" t="s">
        <v>537</v>
      </c>
      <c r="AR22" s="2205"/>
      <c r="AS22" s="2207" t="s">
        <v>538</v>
      </c>
      <c r="AT22" s="2205"/>
      <c r="AU22" s="2205"/>
      <c r="AV22" s="2205"/>
      <c r="AW22" s="2205"/>
      <c r="AX22" s="2205"/>
      <c r="AY22" s="2207" t="s">
        <v>537</v>
      </c>
      <c r="AZ22" s="2205"/>
      <c r="BA22" s="2207" t="s">
        <v>538</v>
      </c>
      <c r="BB22" s="2205"/>
      <c r="BC22" s="2205"/>
      <c r="BD22" s="2205"/>
      <c r="BE22" s="2205"/>
      <c r="BF22" s="2205"/>
      <c r="BG22" s="2207" t="s">
        <v>537</v>
      </c>
      <c r="BH22" s="2205"/>
      <c r="BI22" s="2207" t="s">
        <v>538</v>
      </c>
      <c r="BJ22" s="2205"/>
      <c r="BK22" s="2205"/>
      <c r="BL22" s="2205"/>
      <c r="BM22" s="2205"/>
      <c r="BN22" s="2205"/>
      <c r="BO22" s="2207" t="s">
        <v>537</v>
      </c>
      <c r="BP22" s="2205"/>
      <c r="BQ22" s="2207" t="s">
        <v>538</v>
      </c>
      <c r="BR22" s="2205"/>
      <c r="BS22" s="2205"/>
      <c r="BT22" s="2205"/>
      <c r="BU22" s="2205"/>
      <c r="BV22" s="2205"/>
      <c r="BW22" s="2207" t="s">
        <v>537</v>
      </c>
      <c r="BX22" s="2205"/>
      <c r="BY22" s="2207" t="s">
        <v>538</v>
      </c>
      <c r="CB22" s="437"/>
      <c r="CC22" s="437"/>
      <c r="CD22" s="437"/>
      <c r="CE22" s="437"/>
      <c r="CF22" s="437"/>
    </row>
    <row r="23" spans="1:84" ht="14.25" hidden="1" customHeight="1">
      <c r="O23" s="1280"/>
      <c r="AL23" s="2077"/>
      <c r="AM23" s="2077"/>
      <c r="AN23" s="2077"/>
      <c r="AO23" s="2077"/>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row>
    <row r="24" spans="1:84" ht="14.25" hidden="1" customHeight="1">
      <c r="O24" s="1280"/>
      <c r="AL24" s="2077"/>
      <c r="AM24" s="2077"/>
      <c r="AN24" s="2077"/>
      <c r="AO24" s="2077"/>
      <c r="AP24" s="2077"/>
      <c r="AQ24" s="2077"/>
      <c r="AR24" s="2077"/>
      <c r="AS24" s="2077"/>
      <c r="AT24" s="2077"/>
      <c r="AU24" s="2077"/>
      <c r="AV24" s="2077"/>
      <c r="AW24" s="2077"/>
      <c r="AX24" s="2077"/>
      <c r="AY24" s="2077"/>
      <c r="AZ24" s="2077"/>
      <c r="BA24" s="2077"/>
      <c r="BB24" s="2077"/>
      <c r="BC24" s="2077"/>
      <c r="BD24" s="2077"/>
      <c r="BE24" s="2077"/>
      <c r="BF24" s="2077"/>
      <c r="BG24" s="2077"/>
      <c r="BH24" s="2077"/>
      <c r="BI24" s="2077"/>
      <c r="BJ24" s="2077"/>
      <c r="BK24" s="2077"/>
      <c r="BL24" s="2077"/>
      <c r="BM24" s="2077"/>
      <c r="BN24" s="2077"/>
      <c r="BO24" s="2077"/>
      <c r="BP24" s="2077"/>
      <c r="BQ24" s="2077"/>
      <c r="BR24" s="2077"/>
      <c r="BS24" s="2077"/>
      <c r="BT24" s="2077"/>
      <c r="BU24" s="2077"/>
      <c r="BV24" s="2077"/>
      <c r="BW24" s="2077"/>
      <c r="BX24" s="2077"/>
      <c r="BY24" s="2077"/>
    </row>
    <row r="25" spans="1:8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2077"/>
      <c r="AM25" s="2077"/>
      <c r="AN25" s="2077"/>
      <c r="AO25" s="2077"/>
      <c r="AP25" s="2077"/>
      <c r="AQ25" s="2077"/>
      <c r="AR25" s="2077"/>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7"/>
    </row>
    <row r="26" spans="1:84" ht="14.25" customHeight="1">
      <c r="Q26" s="305"/>
      <c r="R26" s="305"/>
      <c r="S26" s="674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747"/>
      <c r="U26" s="6747"/>
      <c r="V26" s="6747"/>
      <c r="W26" s="6747"/>
      <c r="X26" s="6747"/>
      <c r="Y26" s="6747"/>
      <c r="Z26" s="6747"/>
      <c r="AA26" s="6747"/>
      <c r="AB26" s="6747"/>
      <c r="AC26" s="6747"/>
      <c r="AD26" s="6747"/>
      <c r="AE26" s="6747"/>
      <c r="AF26" s="6747"/>
      <c r="AG26" s="6747"/>
      <c r="AH26" s="6747"/>
      <c r="AI26" s="6747"/>
      <c r="AJ26" s="6747"/>
      <c r="AK26" s="1152"/>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2208"/>
      <c r="BV26" s="2208"/>
      <c r="BW26" s="2208"/>
      <c r="BX26" s="2208"/>
      <c r="BY26" s="2208"/>
    </row>
    <row r="27" spans="1:8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2209"/>
      <c r="BV27" s="2209"/>
      <c r="BW27" s="2209"/>
      <c r="BX27" s="2209"/>
      <c r="BY27" s="2209"/>
    </row>
    <row r="28" spans="1:8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435"/>
    </row>
    <row r="29" spans="1:8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6756" t="str">
        <f>IF(TITLE_NAME_OR_PR_CHANGE="",IF(TITLE_NAME_OR_PR="","",TITLE_NAME_OR_PR),TITLE_NAME_OR_PR_CHANGE)</f>
        <v>Министерство промышленности, экономического развития и торговли Республики Марий Эл</v>
      </c>
      <c r="AM29" s="6756"/>
      <c r="AN29" s="6756"/>
      <c r="AO29" s="6756"/>
      <c r="AP29" s="6756"/>
      <c r="AQ29" s="6756"/>
      <c r="AR29" s="6756"/>
      <c r="AS29" s="2077"/>
      <c r="AT29" s="6756" t="str">
        <f>IF(TITLE_NAME_OR_PR_CHANGE="",IF(TITLE_NAME_OR_PR="","",TITLE_NAME_OR_PR),TITLE_NAME_OR_PR_CHANGE)</f>
        <v>Министерство промышленности, экономического развития и торговли Республики Марий Эл</v>
      </c>
      <c r="AU29" s="6756"/>
      <c r="AV29" s="6756"/>
      <c r="AW29" s="6756"/>
      <c r="AX29" s="6756"/>
      <c r="AY29" s="6756"/>
      <c r="AZ29" s="6756"/>
      <c r="BA29" s="2077"/>
      <c r="BB29" s="6756" t="str">
        <f>IF(TITLE_NAME_OR_PR_CHANGE="",IF(TITLE_NAME_OR_PR="","",TITLE_NAME_OR_PR),TITLE_NAME_OR_PR_CHANGE)</f>
        <v>Министерство промышленности, экономического развития и торговли Республики Марий Эл</v>
      </c>
      <c r="BC29" s="6756"/>
      <c r="BD29" s="6756"/>
      <c r="BE29" s="6756"/>
      <c r="BF29" s="6756"/>
      <c r="BG29" s="6756"/>
      <c r="BH29" s="6756"/>
      <c r="BI29" s="2077"/>
      <c r="BJ29" s="6756" t="str">
        <f>IF(TITLE_NAME_OR_PR_CHANGE="",IF(TITLE_NAME_OR_PR="","",TITLE_NAME_OR_PR),TITLE_NAME_OR_PR_CHANGE)</f>
        <v>Министерство промышленности, экономического развития и торговли Республики Марий Эл</v>
      </c>
      <c r="BK29" s="6756"/>
      <c r="BL29" s="6756"/>
      <c r="BM29" s="6756"/>
      <c r="BN29" s="6756"/>
      <c r="BO29" s="6756"/>
      <c r="BP29" s="6756"/>
      <c r="BQ29" s="2077"/>
      <c r="BR29" s="6756" t="str">
        <f>IF(TITLE_NAME_OR_PR_CHANGE="",IF(TITLE_NAME_OR_PR="","",TITLE_NAME_OR_PR),TITLE_NAME_OR_PR_CHANGE)</f>
        <v>Министерство промышленности, экономического развития и торговли Республики Марий Эл</v>
      </c>
      <c r="BS29" s="6756"/>
      <c r="BT29" s="6756"/>
      <c r="BU29" s="6756"/>
      <c r="BV29" s="6756"/>
      <c r="BW29" s="6756"/>
      <c r="BX29" s="6756"/>
      <c r="BY29" s="2077"/>
      <c r="BZ29" s="253"/>
      <c r="CA29" s="200"/>
      <c r="CB29" s="296"/>
      <c r="CC29" s="296"/>
      <c r="CD29" s="296"/>
      <c r="CE29" s="296"/>
      <c r="CF29" s="296"/>
    </row>
    <row r="30" spans="1:8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6765">
        <f>IF(TITLE_DATE_PR_CHANGE="",IF(TITLE_DATE_PR="","",TITLE_DATE_PR),TITLE_DATE_PR_CHANGE)</f>
        <v>45280.426180555558</v>
      </c>
      <c r="AM30" s="6765"/>
      <c r="AN30" s="6765"/>
      <c r="AO30" s="6765"/>
      <c r="AP30" s="6765"/>
      <c r="AQ30" s="6765"/>
      <c r="AR30" s="6765"/>
      <c r="AS30" s="2077"/>
      <c r="AT30" s="6765">
        <f>IF(TITLE_DATE_PR_CHANGE="",IF(TITLE_DATE_PR="","",TITLE_DATE_PR),TITLE_DATE_PR_CHANGE)</f>
        <v>45280.426180555558</v>
      </c>
      <c r="AU30" s="6765"/>
      <c r="AV30" s="6765"/>
      <c r="AW30" s="6765"/>
      <c r="AX30" s="6765"/>
      <c r="AY30" s="6765"/>
      <c r="AZ30" s="6765"/>
      <c r="BA30" s="2077"/>
      <c r="BB30" s="6765">
        <f>IF(TITLE_DATE_PR_CHANGE="",IF(TITLE_DATE_PR="","",TITLE_DATE_PR),TITLE_DATE_PR_CHANGE)</f>
        <v>45280.426180555558</v>
      </c>
      <c r="BC30" s="6765"/>
      <c r="BD30" s="6765"/>
      <c r="BE30" s="6765"/>
      <c r="BF30" s="6765"/>
      <c r="BG30" s="6765"/>
      <c r="BH30" s="6765"/>
      <c r="BI30" s="2077"/>
      <c r="BJ30" s="6765">
        <f>IF(TITLE_DATE_PR_CHANGE="",IF(TITLE_DATE_PR="","",TITLE_DATE_PR),TITLE_DATE_PR_CHANGE)</f>
        <v>45280.426180555558</v>
      </c>
      <c r="BK30" s="6765"/>
      <c r="BL30" s="6765"/>
      <c r="BM30" s="6765"/>
      <c r="BN30" s="6765"/>
      <c r="BO30" s="6765"/>
      <c r="BP30" s="6765"/>
      <c r="BQ30" s="2077"/>
      <c r="BR30" s="6765">
        <f>IF(TITLE_DATE_PR_CHANGE="",IF(TITLE_DATE_PR="","",TITLE_DATE_PR),TITLE_DATE_PR_CHANGE)</f>
        <v>45280.426180555558</v>
      </c>
      <c r="BS30" s="6765"/>
      <c r="BT30" s="6765"/>
      <c r="BU30" s="6765"/>
      <c r="BV30" s="6765"/>
      <c r="BW30" s="6765"/>
      <c r="BX30" s="6765"/>
      <c r="BY30" s="2077"/>
      <c r="BZ30" s="253"/>
      <c r="CA30" s="200"/>
      <c r="CB30" s="296"/>
      <c r="CC30" s="296"/>
      <c r="CD30" s="296"/>
      <c r="CE30" s="296"/>
      <c r="CF30" s="296"/>
    </row>
    <row r="31" spans="1:8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6756" t="str">
        <f>IF(TITLE_NUMBER_PR_CHANGE="",IF(TITLE_NUMBER_PR="","",TITLE_NUMBER_PR),TITLE_NUMBER_PR_CHANGE)</f>
        <v>124 т, 125 т, 126 т, 169 т</v>
      </c>
      <c r="AM31" s="6756"/>
      <c r="AN31" s="6756"/>
      <c r="AO31" s="6756"/>
      <c r="AP31" s="6756"/>
      <c r="AQ31" s="6756"/>
      <c r="AR31" s="6756"/>
      <c r="AS31" s="2077"/>
      <c r="AT31" s="6756" t="str">
        <f>IF(TITLE_NUMBER_PR_CHANGE="",IF(TITLE_NUMBER_PR="","",TITLE_NUMBER_PR),TITLE_NUMBER_PR_CHANGE)</f>
        <v>124 т, 125 т, 126 т, 169 т</v>
      </c>
      <c r="AU31" s="6756"/>
      <c r="AV31" s="6756"/>
      <c r="AW31" s="6756"/>
      <c r="AX31" s="6756"/>
      <c r="AY31" s="6756"/>
      <c r="AZ31" s="6756"/>
      <c r="BA31" s="2077"/>
      <c r="BB31" s="6756" t="str">
        <f>IF(TITLE_NUMBER_PR_CHANGE="",IF(TITLE_NUMBER_PR="","",TITLE_NUMBER_PR),TITLE_NUMBER_PR_CHANGE)</f>
        <v>124 т, 125 т, 126 т, 169 т</v>
      </c>
      <c r="BC31" s="6756"/>
      <c r="BD31" s="6756"/>
      <c r="BE31" s="6756"/>
      <c r="BF31" s="6756"/>
      <c r="BG31" s="6756"/>
      <c r="BH31" s="6756"/>
      <c r="BI31" s="2077"/>
      <c r="BJ31" s="6756" t="str">
        <f>IF(TITLE_NUMBER_PR_CHANGE="",IF(TITLE_NUMBER_PR="","",TITLE_NUMBER_PR),TITLE_NUMBER_PR_CHANGE)</f>
        <v>124 т, 125 т, 126 т, 169 т</v>
      </c>
      <c r="BK31" s="6756"/>
      <c r="BL31" s="6756"/>
      <c r="BM31" s="6756"/>
      <c r="BN31" s="6756"/>
      <c r="BO31" s="6756"/>
      <c r="BP31" s="6756"/>
      <c r="BQ31" s="2077"/>
      <c r="BR31" s="6756" t="str">
        <f>IF(TITLE_NUMBER_PR_CHANGE="",IF(TITLE_NUMBER_PR="","",TITLE_NUMBER_PR),TITLE_NUMBER_PR_CHANGE)</f>
        <v>124 т, 125 т, 126 т, 169 т</v>
      </c>
      <c r="BS31" s="6756"/>
      <c r="BT31" s="6756"/>
      <c r="BU31" s="6756"/>
      <c r="BV31" s="6756"/>
      <c r="BW31" s="6756"/>
      <c r="BX31" s="6756"/>
      <c r="BY31" s="2077"/>
      <c r="BZ31" s="253"/>
      <c r="CA31" s="200"/>
      <c r="CB31" s="296"/>
      <c r="CC31" s="296"/>
      <c r="CD31" s="296"/>
      <c r="CE31" s="296"/>
      <c r="CF31" s="296"/>
    </row>
    <row r="32" spans="1:8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6756" t="str">
        <f>IF(TITLE_IST_PUB_CHANGE="",IF(TITLE_IST_PUB="","",TITLE_IST_PUB),TITLE_IST_PUB_CHANGE)</f>
        <v>портал Официальное опубликование нормативных правовых актов  Республики Марий Эл</v>
      </c>
      <c r="AM32" s="6756"/>
      <c r="AN32" s="6756"/>
      <c r="AO32" s="6756"/>
      <c r="AP32" s="6756"/>
      <c r="AQ32" s="6756"/>
      <c r="AR32" s="6756"/>
      <c r="AS32" s="2077"/>
      <c r="AT32" s="6756" t="str">
        <f>IF(TITLE_IST_PUB_CHANGE="",IF(TITLE_IST_PUB="","",TITLE_IST_PUB),TITLE_IST_PUB_CHANGE)</f>
        <v>портал Официальное опубликование нормативных правовых актов  Республики Марий Эл</v>
      </c>
      <c r="AU32" s="6756"/>
      <c r="AV32" s="6756"/>
      <c r="AW32" s="6756"/>
      <c r="AX32" s="6756"/>
      <c r="AY32" s="6756"/>
      <c r="AZ32" s="6756"/>
      <c r="BA32" s="2077"/>
      <c r="BB32" s="6756" t="str">
        <f>IF(TITLE_IST_PUB_CHANGE="",IF(TITLE_IST_PUB="","",TITLE_IST_PUB),TITLE_IST_PUB_CHANGE)</f>
        <v>портал Официальное опубликование нормативных правовых актов  Республики Марий Эл</v>
      </c>
      <c r="BC32" s="6756"/>
      <c r="BD32" s="6756"/>
      <c r="BE32" s="6756"/>
      <c r="BF32" s="6756"/>
      <c r="BG32" s="6756"/>
      <c r="BH32" s="6756"/>
      <c r="BI32" s="2077"/>
      <c r="BJ32" s="6756" t="str">
        <f>IF(TITLE_IST_PUB_CHANGE="",IF(TITLE_IST_PUB="","",TITLE_IST_PUB),TITLE_IST_PUB_CHANGE)</f>
        <v>портал Официальное опубликование нормативных правовых актов  Республики Марий Эл</v>
      </c>
      <c r="BK32" s="6756"/>
      <c r="BL32" s="6756"/>
      <c r="BM32" s="6756"/>
      <c r="BN32" s="6756"/>
      <c r="BO32" s="6756"/>
      <c r="BP32" s="6756"/>
      <c r="BQ32" s="2077"/>
      <c r="BR32" s="6756" t="str">
        <f>IF(TITLE_IST_PUB_CHANGE="",IF(TITLE_IST_PUB="","",TITLE_IST_PUB),TITLE_IST_PUB_CHANGE)</f>
        <v>портал Официальное опубликование нормативных правовых актов  Республики Марий Эл</v>
      </c>
      <c r="BS32" s="6756"/>
      <c r="BT32" s="6756"/>
      <c r="BU32" s="6756"/>
      <c r="BV32" s="6756"/>
      <c r="BW32" s="6756"/>
      <c r="BX32" s="6756"/>
      <c r="BY32" s="2077"/>
      <c r="BZ32" s="253"/>
      <c r="CA32" s="200"/>
      <c r="CB32" s="296"/>
      <c r="CC32" s="296"/>
      <c r="CD32" s="296"/>
      <c r="CE32" s="296"/>
      <c r="CF32" s="296"/>
    </row>
    <row r="33" spans="1:8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435"/>
    </row>
    <row r="34" spans="1:8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6765">
        <f>IF(TITLE_DATE_PR_CHANGE="",IF(TITLE_DATE_PR="","",TITLE_DATE_PR),TITLE_DATE_PR_CHANGE)</f>
        <v>45280.426180555558</v>
      </c>
      <c r="AM34" s="6765"/>
      <c r="AN34" s="6765"/>
      <c r="AO34" s="6765"/>
      <c r="AP34" s="6765"/>
      <c r="AQ34" s="6765"/>
      <c r="AR34" s="6765"/>
      <c r="AS34" s="2077"/>
      <c r="AT34" s="6765">
        <f>IF(TITLE_DATE_PR_CHANGE="",IF(TITLE_DATE_PR="","",TITLE_DATE_PR),TITLE_DATE_PR_CHANGE)</f>
        <v>45280.426180555558</v>
      </c>
      <c r="AU34" s="6765"/>
      <c r="AV34" s="6765"/>
      <c r="AW34" s="6765"/>
      <c r="AX34" s="6765"/>
      <c r="AY34" s="6765"/>
      <c r="AZ34" s="6765"/>
      <c r="BA34" s="2077"/>
      <c r="BB34" s="6765">
        <f>IF(TITLE_DATE_PR_CHANGE="",IF(TITLE_DATE_PR="","",TITLE_DATE_PR),TITLE_DATE_PR_CHANGE)</f>
        <v>45280.426180555558</v>
      </c>
      <c r="BC34" s="6765"/>
      <c r="BD34" s="6765"/>
      <c r="BE34" s="6765"/>
      <c r="BF34" s="6765"/>
      <c r="BG34" s="6765"/>
      <c r="BH34" s="6765"/>
      <c r="BI34" s="2077"/>
      <c r="BJ34" s="6765">
        <f>IF(TITLE_DATE_PR_CHANGE="",IF(TITLE_DATE_PR="","",TITLE_DATE_PR),TITLE_DATE_PR_CHANGE)</f>
        <v>45280.426180555558</v>
      </c>
      <c r="BK34" s="6765"/>
      <c r="BL34" s="6765"/>
      <c r="BM34" s="6765"/>
      <c r="BN34" s="6765"/>
      <c r="BO34" s="6765"/>
      <c r="BP34" s="6765"/>
      <c r="BQ34" s="2077"/>
      <c r="BR34" s="6765">
        <f>IF(TITLE_DATE_PR_CHANGE="",IF(TITLE_DATE_PR="","",TITLE_DATE_PR),TITLE_DATE_PR_CHANGE)</f>
        <v>45280.426180555558</v>
      </c>
      <c r="BS34" s="6765"/>
      <c r="BT34" s="6765"/>
      <c r="BU34" s="6765"/>
      <c r="BV34" s="6765"/>
      <c r="BW34" s="6765"/>
      <c r="BX34" s="6765"/>
      <c r="BY34" s="2077"/>
      <c r="BZ34" s="253"/>
      <c r="CA34" s="200"/>
      <c r="CB34" s="296"/>
      <c r="CC34" s="296"/>
      <c r="CD34" s="296"/>
      <c r="CE34" s="296"/>
      <c r="CF34" s="296"/>
    </row>
    <row r="35" spans="1:84" s="2072" customFormat="1" ht="18.7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6756" t="str">
        <f>IF(TITLE_NUMBER_PR_CHANGE="",IF(TITLE_NUMBER_PR="","",TITLE_NUMBER_PR),TITLE_NUMBER_PR_CHANGE)</f>
        <v>124 т, 125 т, 126 т, 169 т</v>
      </c>
      <c r="AM35" s="6756"/>
      <c r="AN35" s="6756"/>
      <c r="AO35" s="6756"/>
      <c r="AP35" s="6756"/>
      <c r="AQ35" s="6756"/>
      <c r="AR35" s="6756"/>
      <c r="AS35" s="2077"/>
      <c r="AT35" s="6756" t="str">
        <f>IF(TITLE_NUMBER_PR_CHANGE="",IF(TITLE_NUMBER_PR="","",TITLE_NUMBER_PR),TITLE_NUMBER_PR_CHANGE)</f>
        <v>124 т, 125 т, 126 т, 169 т</v>
      </c>
      <c r="AU35" s="6756"/>
      <c r="AV35" s="6756"/>
      <c r="AW35" s="6756"/>
      <c r="AX35" s="6756"/>
      <c r="AY35" s="6756"/>
      <c r="AZ35" s="6756"/>
      <c r="BA35" s="2077"/>
      <c r="BB35" s="6756" t="str">
        <f>IF(TITLE_NUMBER_PR_CHANGE="",IF(TITLE_NUMBER_PR="","",TITLE_NUMBER_PR),TITLE_NUMBER_PR_CHANGE)</f>
        <v>124 т, 125 т, 126 т, 169 т</v>
      </c>
      <c r="BC35" s="6756"/>
      <c r="BD35" s="6756"/>
      <c r="BE35" s="6756"/>
      <c r="BF35" s="6756"/>
      <c r="BG35" s="6756"/>
      <c r="BH35" s="6756"/>
      <c r="BI35" s="2077"/>
      <c r="BJ35" s="6756" t="str">
        <f>IF(TITLE_NUMBER_PR_CHANGE="",IF(TITLE_NUMBER_PR="","",TITLE_NUMBER_PR),TITLE_NUMBER_PR_CHANGE)</f>
        <v>124 т, 125 т, 126 т, 169 т</v>
      </c>
      <c r="BK35" s="6756"/>
      <c r="BL35" s="6756"/>
      <c r="BM35" s="6756"/>
      <c r="BN35" s="6756"/>
      <c r="BO35" s="6756"/>
      <c r="BP35" s="6756"/>
      <c r="BQ35" s="2077"/>
      <c r="BR35" s="6756" t="str">
        <f>IF(TITLE_NUMBER_PR_CHANGE="",IF(TITLE_NUMBER_PR="","",TITLE_NUMBER_PR),TITLE_NUMBER_PR_CHANGE)</f>
        <v>124 т, 125 т, 126 т, 169 т</v>
      </c>
      <c r="BS35" s="6756"/>
      <c r="BT35" s="6756"/>
      <c r="BU35" s="6756"/>
      <c r="BV35" s="6756"/>
      <c r="BW35" s="6756"/>
      <c r="BX35" s="6756"/>
      <c r="BY35" s="2077"/>
      <c r="BZ35" s="253"/>
      <c r="CA35" s="200"/>
      <c r="CB35" s="296"/>
      <c r="CC35" s="296"/>
      <c r="CD35" s="296"/>
      <c r="CE35" s="296"/>
      <c r="CF35" s="296"/>
    </row>
    <row r="36" spans="1:84" s="207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544</v>
      </c>
      <c r="AD36" s="253"/>
      <c r="AE36" s="253"/>
      <c r="AF36" s="253"/>
      <c r="AG36" s="253"/>
      <c r="AH36" s="253"/>
      <c r="AI36" s="253"/>
      <c r="AJ36" s="253"/>
      <c r="AK36" s="198" t="s">
        <v>544</v>
      </c>
      <c r="AL36" s="2077"/>
      <c r="AM36" s="2077"/>
      <c r="AN36" s="2077"/>
      <c r="AO36" s="2077"/>
      <c r="AP36" s="2077"/>
      <c r="AQ36" s="2077"/>
      <c r="AR36" s="2077"/>
      <c r="AS36" s="2211" t="s">
        <v>544</v>
      </c>
      <c r="AT36" s="2077"/>
      <c r="AU36" s="2077"/>
      <c r="AV36" s="2077"/>
      <c r="AW36" s="2077"/>
      <c r="AX36" s="2077"/>
      <c r="AY36" s="2077"/>
      <c r="AZ36" s="2077"/>
      <c r="BA36" s="2211" t="s">
        <v>544</v>
      </c>
      <c r="BB36" s="2077"/>
      <c r="BC36" s="2077"/>
      <c r="BD36" s="2077"/>
      <c r="BE36" s="2077"/>
      <c r="BF36" s="2077"/>
      <c r="BG36" s="2077"/>
      <c r="BH36" s="2077"/>
      <c r="BI36" s="2211" t="s">
        <v>544</v>
      </c>
      <c r="BJ36" s="2077"/>
      <c r="BK36" s="2077"/>
      <c r="BL36" s="2077"/>
      <c r="BM36" s="2077"/>
      <c r="BN36" s="2077"/>
      <c r="BO36" s="2077"/>
      <c r="BP36" s="2077"/>
      <c r="BQ36" s="2211" t="s">
        <v>544</v>
      </c>
      <c r="BR36" s="2077"/>
      <c r="BS36" s="2077"/>
      <c r="BT36" s="2077"/>
      <c r="BU36" s="2077"/>
      <c r="BV36" s="2077"/>
      <c r="BW36" s="2077"/>
      <c r="BX36" s="2077"/>
      <c r="BY36" s="2211" t="s">
        <v>544</v>
      </c>
      <c r="CB36" s="296"/>
      <c r="CC36" s="296"/>
      <c r="CD36" s="296"/>
      <c r="CE36" s="296"/>
      <c r="CF36" s="296"/>
    </row>
    <row r="37" spans="1:8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c r="AL37" s="6757" t="s">
        <v>102</v>
      </c>
      <c r="AM37" s="6757"/>
      <c r="AN37" s="6757"/>
      <c r="AO37" s="6757"/>
      <c r="AP37" s="6757"/>
      <c r="AQ37" s="6757"/>
      <c r="AR37" s="6757"/>
      <c r="AS37" s="6757"/>
      <c r="AT37" s="6757" t="s">
        <v>102</v>
      </c>
      <c r="AU37" s="6757"/>
      <c r="AV37" s="6757"/>
      <c r="AW37" s="6757"/>
      <c r="AX37" s="6757"/>
      <c r="AY37" s="6757"/>
      <c r="AZ37" s="6757"/>
      <c r="BA37" s="6757"/>
      <c r="BB37" s="6757" t="s">
        <v>102</v>
      </c>
      <c r="BC37" s="6757"/>
      <c r="BD37" s="6757"/>
      <c r="BE37" s="6757"/>
      <c r="BF37" s="6757"/>
      <c r="BG37" s="6757"/>
      <c r="BH37" s="6757"/>
      <c r="BI37" s="6757"/>
      <c r="BJ37" s="6757" t="s">
        <v>102</v>
      </c>
      <c r="BK37" s="6757"/>
      <c r="BL37" s="6757"/>
      <c r="BM37" s="6757"/>
      <c r="BN37" s="6757"/>
      <c r="BO37" s="6757"/>
      <c r="BP37" s="6757"/>
      <c r="BQ37" s="6757"/>
      <c r="BR37" s="6757" t="s">
        <v>102</v>
      </c>
      <c r="BS37" s="6757"/>
      <c r="BT37" s="6757"/>
      <c r="BU37" s="6757"/>
      <c r="BV37" s="6757"/>
      <c r="BW37" s="6757"/>
      <c r="BX37" s="6757"/>
      <c r="BY37" s="6757"/>
    </row>
    <row r="38" spans="1:8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t="s">
        <v>418</v>
      </c>
      <c r="AM38" s="6629"/>
      <c r="AN38" s="6629"/>
      <c r="AO38" s="6629"/>
      <c r="AP38" s="6629"/>
      <c r="AQ38" s="6629"/>
      <c r="AR38" s="6629"/>
      <c r="AS38" s="6629"/>
      <c r="AT38" s="6629" t="s">
        <v>418</v>
      </c>
      <c r="AU38" s="6629"/>
      <c r="AV38" s="6629"/>
      <c r="AW38" s="6629"/>
      <c r="AX38" s="6629"/>
      <c r="AY38" s="6629"/>
      <c r="AZ38" s="6629"/>
      <c r="BA38" s="6629"/>
      <c r="BB38" s="6629" t="s">
        <v>418</v>
      </c>
      <c r="BC38" s="6629"/>
      <c r="BD38" s="6629"/>
      <c r="BE38" s="6629"/>
      <c r="BF38" s="6629"/>
      <c r="BG38" s="6629"/>
      <c r="BH38" s="6629"/>
      <c r="BI38" s="6629"/>
      <c r="BJ38" s="6629" t="s">
        <v>418</v>
      </c>
      <c r="BK38" s="6629"/>
      <c r="BL38" s="6629"/>
      <c r="BM38" s="6629"/>
      <c r="BN38" s="6629"/>
      <c r="BO38" s="6629"/>
      <c r="BP38" s="6629"/>
      <c r="BQ38" s="6629"/>
      <c r="BR38" s="6629" t="s">
        <v>418</v>
      </c>
      <c r="BS38" s="6629"/>
      <c r="BT38" s="6629"/>
      <c r="BU38" s="6629"/>
      <c r="BV38" s="6629"/>
      <c r="BW38" s="6629"/>
      <c r="BX38" s="6629"/>
      <c r="BY38" s="6629"/>
      <c r="BZ38" s="6629"/>
      <c r="CA38" s="6629"/>
    </row>
    <row r="39" spans="1:84" ht="14.25" customHeight="1">
      <c r="Q39" s="305"/>
      <c r="R39" s="305"/>
      <c r="S39" s="6771" t="s">
        <v>87</v>
      </c>
      <c r="T39" s="6723" t="s">
        <v>545</v>
      </c>
      <c r="U39" s="220"/>
      <c r="V39" s="6772" t="s">
        <v>546</v>
      </c>
      <c r="W39" s="6773"/>
      <c r="X39" s="6773"/>
      <c r="Y39" s="6773"/>
      <c r="Z39" s="6773"/>
      <c r="AA39" s="6773"/>
      <c r="AB39" s="6774"/>
      <c r="AC39" s="6775" t="s">
        <v>547</v>
      </c>
      <c r="AD39" s="6772" t="s">
        <v>546</v>
      </c>
      <c r="AE39" s="6773"/>
      <c r="AF39" s="6773"/>
      <c r="AG39" s="6773"/>
      <c r="AH39" s="6773"/>
      <c r="AI39" s="6773"/>
      <c r="AJ39" s="6774"/>
      <c r="AK39" s="6775" t="s">
        <v>548</v>
      </c>
      <c r="AL39" s="6772" t="s">
        <v>546</v>
      </c>
      <c r="AM39" s="6773"/>
      <c r="AN39" s="6773"/>
      <c r="AO39" s="6773"/>
      <c r="AP39" s="6773"/>
      <c r="AQ39" s="6773"/>
      <c r="AR39" s="6774"/>
      <c r="AS39" s="6775" t="s">
        <v>547</v>
      </c>
      <c r="AT39" s="6772" t="s">
        <v>546</v>
      </c>
      <c r="AU39" s="6773"/>
      <c r="AV39" s="6773"/>
      <c r="AW39" s="6773"/>
      <c r="AX39" s="6773"/>
      <c r="AY39" s="6773"/>
      <c r="AZ39" s="6774"/>
      <c r="BA39" s="6775" t="s">
        <v>547</v>
      </c>
      <c r="BB39" s="6772" t="s">
        <v>546</v>
      </c>
      <c r="BC39" s="6773"/>
      <c r="BD39" s="6773"/>
      <c r="BE39" s="6773"/>
      <c r="BF39" s="6773"/>
      <c r="BG39" s="6773"/>
      <c r="BH39" s="6774"/>
      <c r="BI39" s="6775" t="s">
        <v>547</v>
      </c>
      <c r="BJ39" s="6772" t="s">
        <v>546</v>
      </c>
      <c r="BK39" s="6773"/>
      <c r="BL39" s="6773"/>
      <c r="BM39" s="6773"/>
      <c r="BN39" s="6773"/>
      <c r="BO39" s="6773"/>
      <c r="BP39" s="6774"/>
      <c r="BQ39" s="6775" t="s">
        <v>547</v>
      </c>
      <c r="BR39" s="6772" t="s">
        <v>546</v>
      </c>
      <c r="BS39" s="6773"/>
      <c r="BT39" s="6773"/>
      <c r="BU39" s="6773"/>
      <c r="BV39" s="6773"/>
      <c r="BW39" s="6773"/>
      <c r="BX39" s="6774"/>
      <c r="BY39" s="6775" t="s">
        <v>547</v>
      </c>
      <c r="BZ39" s="6778" t="s">
        <v>549</v>
      </c>
      <c r="CA39" s="6629"/>
    </row>
    <row r="40" spans="1:84" ht="33.75" customHeight="1">
      <c r="Q40" s="305"/>
      <c r="R40" s="305"/>
      <c r="S40" s="6771"/>
      <c r="T40" s="6723"/>
      <c r="U40" s="938"/>
      <c r="V40" s="6693" t="s">
        <v>550</v>
      </c>
      <c r="W40" s="6781" t="s">
        <v>551</v>
      </c>
      <c r="X40" s="6600" t="s">
        <v>552</v>
      </c>
      <c r="Y40" s="6599"/>
      <c r="Z40" s="6600" t="s">
        <v>565</v>
      </c>
      <c r="AA40" s="6605"/>
      <c r="AB40" s="6599"/>
      <c r="AC40" s="6776"/>
      <c r="AD40" s="6693" t="s">
        <v>550</v>
      </c>
      <c r="AE40" s="6781" t="s">
        <v>551</v>
      </c>
      <c r="AF40" s="6600" t="s">
        <v>552</v>
      </c>
      <c r="AG40" s="6599"/>
      <c r="AH40" s="6600" t="s">
        <v>553</v>
      </c>
      <c r="AI40" s="6605"/>
      <c r="AJ40" s="6599"/>
      <c r="AK40" s="6776"/>
      <c r="AL40" s="6693" t="s">
        <v>550</v>
      </c>
      <c r="AM40" s="6781" t="s">
        <v>551</v>
      </c>
      <c r="AN40" s="6600" t="s">
        <v>552</v>
      </c>
      <c r="AO40" s="6599"/>
      <c r="AP40" s="6600" t="s">
        <v>565</v>
      </c>
      <c r="AQ40" s="6605"/>
      <c r="AR40" s="6599"/>
      <c r="AS40" s="6776"/>
      <c r="AT40" s="6693" t="s">
        <v>550</v>
      </c>
      <c r="AU40" s="6781" t="s">
        <v>551</v>
      </c>
      <c r="AV40" s="6600" t="s">
        <v>552</v>
      </c>
      <c r="AW40" s="6599"/>
      <c r="AX40" s="6600" t="s">
        <v>565</v>
      </c>
      <c r="AY40" s="6605"/>
      <c r="AZ40" s="6599"/>
      <c r="BA40" s="6776"/>
      <c r="BB40" s="6693" t="s">
        <v>550</v>
      </c>
      <c r="BC40" s="6781" t="s">
        <v>551</v>
      </c>
      <c r="BD40" s="6600" t="s">
        <v>552</v>
      </c>
      <c r="BE40" s="6599"/>
      <c r="BF40" s="6600" t="s">
        <v>565</v>
      </c>
      <c r="BG40" s="6605"/>
      <c r="BH40" s="6599"/>
      <c r="BI40" s="6776"/>
      <c r="BJ40" s="6693" t="s">
        <v>550</v>
      </c>
      <c r="BK40" s="6781" t="s">
        <v>551</v>
      </c>
      <c r="BL40" s="6600" t="s">
        <v>552</v>
      </c>
      <c r="BM40" s="6599"/>
      <c r="BN40" s="6600" t="s">
        <v>565</v>
      </c>
      <c r="BO40" s="6605"/>
      <c r="BP40" s="6599"/>
      <c r="BQ40" s="6776"/>
      <c r="BR40" s="6693" t="s">
        <v>550</v>
      </c>
      <c r="BS40" s="6781" t="s">
        <v>551</v>
      </c>
      <c r="BT40" s="6600" t="s">
        <v>552</v>
      </c>
      <c r="BU40" s="6599"/>
      <c r="BV40" s="6600" t="s">
        <v>565</v>
      </c>
      <c r="BW40" s="6605"/>
      <c r="BX40" s="6599"/>
      <c r="BY40" s="6776"/>
      <c r="BZ40" s="6779"/>
      <c r="CA40" s="6629"/>
    </row>
    <row r="41" spans="1:84" ht="33.7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Q41" s="305"/>
      <c r="R41" s="305"/>
      <c r="S41" s="6771"/>
      <c r="T41" s="6723"/>
      <c r="U41" s="221"/>
      <c r="V41" s="6742"/>
      <c r="W41" s="6782"/>
      <c r="X41" s="1128" t="s">
        <v>561</v>
      </c>
      <c r="Y41" s="1128" t="s">
        <v>562</v>
      </c>
      <c r="Z41" s="1255" t="s">
        <v>563</v>
      </c>
      <c r="AA41" s="6731" t="s">
        <v>564</v>
      </c>
      <c r="AB41" s="6733"/>
      <c r="AC41" s="6777"/>
      <c r="AD41" s="6742"/>
      <c r="AE41" s="6782"/>
      <c r="AF41" s="1128" t="s">
        <v>561</v>
      </c>
      <c r="AG41" s="1128" t="s">
        <v>562</v>
      </c>
      <c r="AH41" s="1255" t="s">
        <v>563</v>
      </c>
      <c r="AI41" s="6731" t="s">
        <v>564</v>
      </c>
      <c r="AJ41" s="6733"/>
      <c r="AK41" s="6777"/>
      <c r="AL41" s="6742"/>
      <c r="AM41" s="6782"/>
      <c r="AN41" s="2212" t="s">
        <v>561</v>
      </c>
      <c r="AO41" s="2212" t="s">
        <v>562</v>
      </c>
      <c r="AP41" s="2212" t="s">
        <v>563</v>
      </c>
      <c r="AQ41" s="6731" t="s">
        <v>564</v>
      </c>
      <c r="AR41" s="6733"/>
      <c r="AS41" s="6777"/>
      <c r="AT41" s="6742"/>
      <c r="AU41" s="6782"/>
      <c r="AV41" s="2212" t="s">
        <v>561</v>
      </c>
      <c r="AW41" s="2212" t="s">
        <v>562</v>
      </c>
      <c r="AX41" s="2212" t="s">
        <v>563</v>
      </c>
      <c r="AY41" s="6731" t="s">
        <v>564</v>
      </c>
      <c r="AZ41" s="6733"/>
      <c r="BA41" s="6777"/>
      <c r="BB41" s="6742"/>
      <c r="BC41" s="6782"/>
      <c r="BD41" s="2212" t="s">
        <v>561</v>
      </c>
      <c r="BE41" s="2212" t="s">
        <v>562</v>
      </c>
      <c r="BF41" s="2212" t="s">
        <v>563</v>
      </c>
      <c r="BG41" s="6731" t="s">
        <v>564</v>
      </c>
      <c r="BH41" s="6733"/>
      <c r="BI41" s="6777"/>
      <c r="BJ41" s="6742"/>
      <c r="BK41" s="6782"/>
      <c r="BL41" s="2212" t="s">
        <v>561</v>
      </c>
      <c r="BM41" s="2212" t="s">
        <v>562</v>
      </c>
      <c r="BN41" s="2212" t="s">
        <v>563</v>
      </c>
      <c r="BO41" s="6731" t="s">
        <v>564</v>
      </c>
      <c r="BP41" s="6733"/>
      <c r="BQ41" s="6777"/>
      <c r="BR41" s="6742"/>
      <c r="BS41" s="6782"/>
      <c r="BT41" s="2212" t="s">
        <v>561</v>
      </c>
      <c r="BU41" s="2212" t="s">
        <v>562</v>
      </c>
      <c r="BV41" s="2212" t="s">
        <v>563</v>
      </c>
      <c r="BW41" s="6731" t="s">
        <v>564</v>
      </c>
      <c r="BX41" s="6733"/>
      <c r="BY41" s="6777"/>
      <c r="BZ41" s="6780"/>
      <c r="CA41" s="6629"/>
    </row>
    <row r="42" spans="1:8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252">
        <f ca="1">OFFSET(V42,0,-1)+1</f>
        <v>3</v>
      </c>
      <c r="W42" s="1252"/>
      <c r="X42" s="1252">
        <f ca="1">OFFSET(X42,0,-1)+1</f>
        <v>1</v>
      </c>
      <c r="Y42" s="1252">
        <f ca="1">OFFSET(Y42,0,-1)+1</f>
        <v>2</v>
      </c>
      <c r="Z42" s="1252">
        <f ca="1">OFFSET(Z42,0,-1)+1</f>
        <v>3</v>
      </c>
      <c r="AA42" s="6770">
        <f ca="1">OFFSET(AA42,0,-1)+1</f>
        <v>4</v>
      </c>
      <c r="AB42" s="6770"/>
      <c r="AC42" s="1252">
        <f ca="1">OFFSET(AC42,0,-2)+1</f>
        <v>5</v>
      </c>
      <c r="AD42" s="1252">
        <f ca="1">OFFSET(AD42,0,-1)+1</f>
        <v>6</v>
      </c>
      <c r="AE42" s="1252"/>
      <c r="AF42" s="1252">
        <f ca="1">OFFSET(AF42,0,-1)+1</f>
        <v>1</v>
      </c>
      <c r="AG42" s="1252">
        <f ca="1">OFFSET(AG42,0,-1)+1</f>
        <v>2</v>
      </c>
      <c r="AH42" s="1252">
        <f ca="1">OFFSET(AH42,0,-1)+1</f>
        <v>3</v>
      </c>
      <c r="AI42" s="6770">
        <f ca="1">OFFSET(AI42,0,-1)+1</f>
        <v>4</v>
      </c>
      <c r="AJ42" s="6770"/>
      <c r="AK42" s="1252">
        <f ca="1">OFFSET(AK42,0,-2)+1</f>
        <v>5</v>
      </c>
      <c r="AL42" s="2213">
        <f ca="1">OFFSET(AL42,0,-1)+1</f>
        <v>6</v>
      </c>
      <c r="AM42" s="2213"/>
      <c r="AN42" s="2213">
        <f ca="1">OFFSET(AN42,0,-1)+1</f>
        <v>1</v>
      </c>
      <c r="AO42" s="2213">
        <f ca="1">OFFSET(AO42,0,-1)+1</f>
        <v>2</v>
      </c>
      <c r="AP42" s="2213">
        <f ca="1">OFFSET(AP42,0,-1)+1</f>
        <v>3</v>
      </c>
      <c r="AQ42" s="6770">
        <f ca="1">OFFSET(AQ42,0,-1)+1</f>
        <v>4</v>
      </c>
      <c r="AR42" s="6770"/>
      <c r="AS42" s="2213">
        <f ca="1">OFFSET(AS42,0,-2)+1</f>
        <v>5</v>
      </c>
      <c r="AT42" s="2213">
        <f ca="1">OFFSET(AT42,0,-1)+1</f>
        <v>6</v>
      </c>
      <c r="AU42" s="2213"/>
      <c r="AV42" s="2213">
        <f ca="1">OFFSET(AV42,0,-1)+1</f>
        <v>1</v>
      </c>
      <c r="AW42" s="2213">
        <f ca="1">OFFSET(AW42,0,-1)+1</f>
        <v>2</v>
      </c>
      <c r="AX42" s="2213">
        <f ca="1">OFFSET(AX42,0,-1)+1</f>
        <v>3</v>
      </c>
      <c r="AY42" s="6770">
        <f ca="1">OFFSET(AY42,0,-1)+1</f>
        <v>4</v>
      </c>
      <c r="AZ42" s="6770"/>
      <c r="BA42" s="2213">
        <f ca="1">OFFSET(BA42,0,-2)+1</f>
        <v>5</v>
      </c>
      <c r="BB42" s="2213">
        <f ca="1">OFFSET(BB42,0,-1)+1</f>
        <v>6</v>
      </c>
      <c r="BC42" s="2213"/>
      <c r="BD42" s="2213">
        <f ca="1">OFFSET(BD42,0,-1)+1</f>
        <v>1</v>
      </c>
      <c r="BE42" s="2213">
        <f ca="1">OFFSET(BE42,0,-1)+1</f>
        <v>2</v>
      </c>
      <c r="BF42" s="2213">
        <f ca="1">OFFSET(BF42,0,-1)+1</f>
        <v>3</v>
      </c>
      <c r="BG42" s="6770">
        <f ca="1">OFFSET(BG42,0,-1)+1</f>
        <v>4</v>
      </c>
      <c r="BH42" s="6770"/>
      <c r="BI42" s="2213">
        <f ca="1">OFFSET(BI42,0,-2)+1</f>
        <v>5</v>
      </c>
      <c r="BJ42" s="2213">
        <f ca="1">OFFSET(BJ42,0,-1)+1</f>
        <v>6</v>
      </c>
      <c r="BK42" s="2213"/>
      <c r="BL42" s="2213">
        <f ca="1">OFFSET(BL42,0,-1)+1</f>
        <v>1</v>
      </c>
      <c r="BM42" s="2213">
        <f ca="1">OFFSET(BM42,0,-1)+1</f>
        <v>2</v>
      </c>
      <c r="BN42" s="2213">
        <f ca="1">OFFSET(BN42,0,-1)+1</f>
        <v>3</v>
      </c>
      <c r="BO42" s="6770">
        <f ca="1">OFFSET(BO42,0,-1)+1</f>
        <v>4</v>
      </c>
      <c r="BP42" s="6770"/>
      <c r="BQ42" s="2213">
        <f ca="1">OFFSET(BQ42,0,-2)+1</f>
        <v>5</v>
      </c>
      <c r="BR42" s="2213">
        <f ca="1">OFFSET(BR42,0,-1)+1</f>
        <v>6</v>
      </c>
      <c r="BS42" s="2213"/>
      <c r="BT42" s="2213">
        <f ca="1">OFFSET(BT42,0,-1)+1</f>
        <v>1</v>
      </c>
      <c r="BU42" s="2213">
        <f ca="1">OFFSET(BU42,0,-1)+1</f>
        <v>2</v>
      </c>
      <c r="BV42" s="2213">
        <f ca="1">OFFSET(BV42,0,-1)+1</f>
        <v>3</v>
      </c>
      <c r="BW42" s="6770">
        <f ca="1">OFFSET(BW42,0,-1)+1</f>
        <v>4</v>
      </c>
      <c r="BX42" s="6770"/>
      <c r="BY42" s="2213">
        <f ca="1">OFFSET(BY42,0,-2)+1</f>
        <v>5</v>
      </c>
      <c r="BZ42" s="1154">
        <f ca="1">OFFSET(BZ42,0,-1)</f>
        <v>5</v>
      </c>
      <c r="CA42" s="1252">
        <f ca="1">OFFSET(CA42,0,-1)+1</f>
        <v>6</v>
      </c>
      <c r="CB42" s="437"/>
      <c r="CC42" s="437"/>
      <c r="CD42" s="437"/>
      <c r="CE42" s="437"/>
      <c r="CF42" s="437"/>
    </row>
    <row r="43" spans="1:84" ht="21" customHeight="1">
      <c r="A43" s="1279" t="s">
        <v>224</v>
      </c>
      <c r="B43" s="1279"/>
      <c r="C43" s="1279"/>
      <c r="D43" s="1279"/>
      <c r="E43" s="6763">
        <v>1</v>
      </c>
      <c r="F43" s="1279"/>
      <c r="G43" s="1279"/>
      <c r="H43" s="1279"/>
      <c r="I43" s="1279"/>
      <c r="J43" s="1279"/>
      <c r="K43" s="1279"/>
      <c r="L43" s="1280"/>
      <c r="M43" s="1281"/>
      <c r="N43" s="1281"/>
      <c r="O43" s="1281"/>
      <c r="P43" s="286"/>
      <c r="Q43" s="285"/>
      <c r="R43" s="280"/>
      <c r="S43" s="1253">
        <f>INDEX(PT_DIFFERENTIATION_NUM_NTAR,MATCH(A43,PT_DIFFERENTIATION_NTAR_ID,0))</f>
        <v>1</v>
      </c>
      <c r="T43" s="217" t="s">
        <v>189</v>
      </c>
      <c r="U43" s="219"/>
      <c r="V43" s="6749"/>
      <c r="W43" s="6750"/>
      <c r="X43" s="6750"/>
      <c r="Y43" s="6750"/>
      <c r="Z43" s="6750"/>
      <c r="AA43" s="6750"/>
      <c r="AB43" s="6750"/>
      <c r="AC43" s="6751"/>
      <c r="AD43" s="6749" t="str">
        <f>INDEX(PT_DIFFERENTIATION_NTAR,MATCH(A43,PT_DIFFERENTIATION_NTAR_ID,0))</f>
        <v>Тариф на тепловую энергию (мощность), поставляемую потребителям</v>
      </c>
      <c r="AE43" s="6750"/>
      <c r="AF43" s="6750"/>
      <c r="AG43" s="6750"/>
      <c r="AH43" s="6750"/>
      <c r="AI43" s="6750"/>
      <c r="AJ43" s="6750"/>
      <c r="AK43" s="6750"/>
      <c r="AL43" s="6749"/>
      <c r="AM43" s="6750"/>
      <c r="AN43" s="6750"/>
      <c r="AO43" s="6750"/>
      <c r="AP43" s="6750"/>
      <c r="AQ43" s="6750"/>
      <c r="AR43" s="6750"/>
      <c r="AS43" s="6751"/>
      <c r="AT43" s="6749"/>
      <c r="AU43" s="6750"/>
      <c r="AV43" s="6750"/>
      <c r="AW43" s="6750"/>
      <c r="AX43" s="6750"/>
      <c r="AY43" s="6750"/>
      <c r="AZ43" s="6750"/>
      <c r="BA43" s="6751"/>
      <c r="BB43" s="6749"/>
      <c r="BC43" s="6750"/>
      <c r="BD43" s="6750"/>
      <c r="BE43" s="6750"/>
      <c r="BF43" s="6750"/>
      <c r="BG43" s="6750"/>
      <c r="BH43" s="6750"/>
      <c r="BI43" s="6751"/>
      <c r="BJ43" s="6749"/>
      <c r="BK43" s="6750"/>
      <c r="BL43" s="6750"/>
      <c r="BM43" s="6750"/>
      <c r="BN43" s="6750"/>
      <c r="BO43" s="6750"/>
      <c r="BP43" s="6750"/>
      <c r="BQ43" s="6751"/>
      <c r="BR43" s="6749"/>
      <c r="BS43" s="6750"/>
      <c r="BT43" s="6750"/>
      <c r="BU43" s="6750"/>
      <c r="BV43" s="6750"/>
      <c r="BW43" s="6750"/>
      <c r="BX43" s="6750"/>
      <c r="BY43" s="6751"/>
      <c r="BZ43" s="6751"/>
      <c r="CA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C43" s="426"/>
      <c r="CD43" s="426" t="str">
        <f t="shared" ref="CD43:CD74" si="1">IF(T43="","",T43)</f>
        <v>Наименование тарифа</v>
      </c>
      <c r="CE43" s="426"/>
      <c r="CF43" s="426"/>
    </row>
    <row r="44" spans="1:84" ht="21" customHeight="1">
      <c r="A44" s="1279" t="s">
        <v>224</v>
      </c>
      <c r="B44" s="1279" t="s">
        <v>225</v>
      </c>
      <c r="C44" s="1279"/>
      <c r="D44" s="1279"/>
      <c r="E44" s="6764"/>
      <c r="F44" s="6763">
        <v>1</v>
      </c>
      <c r="G44" s="1279"/>
      <c r="H44" s="1279"/>
      <c r="I44" s="1279"/>
      <c r="J44" s="1279"/>
      <c r="K44" s="1279"/>
      <c r="L44" s="1280"/>
      <c r="M44" s="1281"/>
      <c r="N44" s="1281"/>
      <c r="O44" s="1281"/>
      <c r="P44" s="1249"/>
      <c r="Q44" s="277"/>
      <c r="R44" s="278"/>
      <c r="S44" s="1253" t="str">
        <f>INDEX(PT_DIFFERENTIATION_NUM_TER,MATCH(B44,PT_DIFFERENTIATION_TER_ID,0))</f>
        <v>1.1</v>
      </c>
      <c r="T44" s="229" t="s">
        <v>517</v>
      </c>
      <c r="U44" s="219"/>
      <c r="V44" s="6749"/>
      <c r="W44" s="6750"/>
      <c r="X44" s="6750"/>
      <c r="Y44" s="6750"/>
      <c r="Z44" s="6750"/>
      <c r="AA44" s="6750"/>
      <c r="AB44" s="6750"/>
      <c r="AC44" s="6751"/>
      <c r="AD44" s="6749" t="str">
        <f>INDEX(PT_DIFFERENTIATION_TER,MATCH(B44,PT_DIFFERENTIATION_TER_ID,0))</f>
        <v>Территория 15</v>
      </c>
      <c r="AE44" s="6750"/>
      <c r="AF44" s="6750"/>
      <c r="AG44" s="6750"/>
      <c r="AH44" s="6750"/>
      <c r="AI44" s="6750"/>
      <c r="AJ44" s="6750"/>
      <c r="AK44" s="6750"/>
      <c r="AL44" s="6749"/>
      <c r="AM44" s="6750"/>
      <c r="AN44" s="6750"/>
      <c r="AO44" s="6750"/>
      <c r="AP44" s="6750"/>
      <c r="AQ44" s="6750"/>
      <c r="AR44" s="6750"/>
      <c r="AS44" s="6751"/>
      <c r="AT44" s="6749"/>
      <c r="AU44" s="6750"/>
      <c r="AV44" s="6750"/>
      <c r="AW44" s="6750"/>
      <c r="AX44" s="6750"/>
      <c r="AY44" s="6750"/>
      <c r="AZ44" s="6750"/>
      <c r="BA44" s="6751"/>
      <c r="BB44" s="6749"/>
      <c r="BC44" s="6750"/>
      <c r="BD44" s="6750"/>
      <c r="BE44" s="6750"/>
      <c r="BF44" s="6750"/>
      <c r="BG44" s="6750"/>
      <c r="BH44" s="6750"/>
      <c r="BI44" s="6751"/>
      <c r="BJ44" s="6749"/>
      <c r="BK44" s="6750"/>
      <c r="BL44" s="6750"/>
      <c r="BM44" s="6750"/>
      <c r="BN44" s="6750"/>
      <c r="BO44" s="6750"/>
      <c r="BP44" s="6750"/>
      <c r="BQ44" s="6751"/>
      <c r="BR44" s="6749"/>
      <c r="BS44" s="6750"/>
      <c r="BT44" s="6750"/>
      <c r="BU44" s="6750"/>
      <c r="BV44" s="6750"/>
      <c r="BW44" s="6750"/>
      <c r="BX44" s="6750"/>
      <c r="BY44" s="6751"/>
      <c r="BZ44" s="6751"/>
      <c r="CA44" s="1177" t="s">
        <v>518</v>
      </c>
      <c r="CC44" s="426"/>
      <c r="CD44" s="426" t="str">
        <f t="shared" si="1"/>
        <v>Территория действия тарифа</v>
      </c>
      <c r="CE44" s="426"/>
      <c r="CF44" s="426"/>
    </row>
    <row r="45" spans="1:84" ht="23.25" customHeight="1">
      <c r="A45" s="1279" t="s">
        <v>224</v>
      </c>
      <c r="B45" s="1279" t="s">
        <v>225</v>
      </c>
      <c r="C45" s="1279" t="s">
        <v>226</v>
      </c>
      <c r="D45" s="1279"/>
      <c r="E45" s="6764"/>
      <c r="F45" s="6764"/>
      <c r="G45" s="6763">
        <v>1</v>
      </c>
      <c r="H45" s="1279"/>
      <c r="I45" s="1279"/>
      <c r="J45" s="1279"/>
      <c r="K45" s="1279"/>
      <c r="L45" s="1280"/>
      <c r="M45" s="1281"/>
      <c r="N45" s="1281"/>
      <c r="O45" s="1281"/>
      <c r="P45" s="279"/>
      <c r="Q45" s="277"/>
      <c r="R45" s="278"/>
      <c r="S45" s="1253" t="str">
        <f>INDEX(PT_DIFFERENTIATION_NUM_CS,MATCH(C45,PT_DIFFERENTIATION_CS_ID,0))</f>
        <v>1.1.1</v>
      </c>
      <c r="T45" s="230" t="s">
        <v>519</v>
      </c>
      <c r="U45" s="219"/>
      <c r="V45" s="6749"/>
      <c r="W45" s="6750"/>
      <c r="X45" s="6750"/>
      <c r="Y45" s="6750"/>
      <c r="Z45" s="6750"/>
      <c r="AA45" s="6750"/>
      <c r="AB45" s="6750"/>
      <c r="AC45" s="6751"/>
      <c r="AD45" s="6749" t="str">
        <f>INDEX(PT_DIFFERENTIATION_CS,MATCH(C45,PT_DIFFERENTIATION_CS_ID,0))</f>
        <v>без дифференциации</v>
      </c>
      <c r="AE45" s="6750"/>
      <c r="AF45" s="6750"/>
      <c r="AG45" s="6750"/>
      <c r="AH45" s="6750"/>
      <c r="AI45" s="6750"/>
      <c r="AJ45" s="6750"/>
      <c r="AK45" s="6750"/>
      <c r="AL45" s="6749"/>
      <c r="AM45" s="6750"/>
      <c r="AN45" s="6750"/>
      <c r="AO45" s="6750"/>
      <c r="AP45" s="6750"/>
      <c r="AQ45" s="6750"/>
      <c r="AR45" s="6750"/>
      <c r="AS45" s="6751"/>
      <c r="AT45" s="6749"/>
      <c r="AU45" s="6750"/>
      <c r="AV45" s="6750"/>
      <c r="AW45" s="6750"/>
      <c r="AX45" s="6750"/>
      <c r="AY45" s="6750"/>
      <c r="AZ45" s="6750"/>
      <c r="BA45" s="6751"/>
      <c r="BB45" s="6749"/>
      <c r="BC45" s="6750"/>
      <c r="BD45" s="6750"/>
      <c r="BE45" s="6750"/>
      <c r="BF45" s="6750"/>
      <c r="BG45" s="6750"/>
      <c r="BH45" s="6750"/>
      <c r="BI45" s="6751"/>
      <c r="BJ45" s="6749"/>
      <c r="BK45" s="6750"/>
      <c r="BL45" s="6750"/>
      <c r="BM45" s="6750"/>
      <c r="BN45" s="6750"/>
      <c r="BO45" s="6750"/>
      <c r="BP45" s="6750"/>
      <c r="BQ45" s="6751"/>
      <c r="BR45" s="6749"/>
      <c r="BS45" s="6750"/>
      <c r="BT45" s="6750"/>
      <c r="BU45" s="6750"/>
      <c r="BV45" s="6750"/>
      <c r="BW45" s="6750"/>
      <c r="BX45" s="6750"/>
      <c r="BY45" s="6751"/>
      <c r="BZ45" s="6751"/>
      <c r="CA45" s="1177" t="s">
        <v>520</v>
      </c>
      <c r="CC45" s="426"/>
      <c r="CD45" s="426" t="str">
        <f t="shared" si="1"/>
        <v xml:space="preserve">Наименование системы теплоснабжения </v>
      </c>
      <c r="CE45" s="426"/>
      <c r="CF45" s="426"/>
    </row>
    <row r="46" spans="1:84" ht="21" customHeight="1">
      <c r="A46" s="1279" t="s">
        <v>224</v>
      </c>
      <c r="B46" s="1279" t="s">
        <v>225</v>
      </c>
      <c r="C46" s="1279" t="s">
        <v>226</v>
      </c>
      <c r="D46" s="1279" t="s">
        <v>227</v>
      </c>
      <c r="E46" s="6764"/>
      <c r="F46" s="6764"/>
      <c r="G46" s="6764"/>
      <c r="H46" s="6763">
        <v>1</v>
      </c>
      <c r="I46" s="1279"/>
      <c r="J46" s="1279"/>
      <c r="K46" s="1279"/>
      <c r="L46" s="1280"/>
      <c r="M46" s="1281"/>
      <c r="N46" s="1281"/>
      <c r="O46" s="1281"/>
      <c r="P46" s="279"/>
      <c r="Q46" s="277"/>
      <c r="R46" s="278"/>
      <c r="S46" s="1253" t="str">
        <f>INDEX(PT_DIFFERENTIATION_NUM_IST_TE,MATCH(D46,PT_DIFFERENTIATION_IST_TE_ID,0))</f>
        <v>1.1.1.1</v>
      </c>
      <c r="T46" s="231" t="s">
        <v>521</v>
      </c>
      <c r="U46" s="219"/>
      <c r="V46" s="6749"/>
      <c r="W46" s="6750"/>
      <c r="X46" s="6750"/>
      <c r="Y46" s="6750"/>
      <c r="Z46" s="6750"/>
      <c r="AA46" s="6750"/>
      <c r="AB46" s="6750"/>
      <c r="AC46" s="6751"/>
      <c r="AD46" s="6749" t="str">
        <f>INDEX(PT_DIFFERENTIATION_IST_TE,MATCH(D46,PT_DIFFERENTIATION_IST_TE_ID,0))</f>
        <v>без дифференциации</v>
      </c>
      <c r="AE46" s="6750"/>
      <c r="AF46" s="6750"/>
      <c r="AG46" s="6750"/>
      <c r="AH46" s="6750"/>
      <c r="AI46" s="6750"/>
      <c r="AJ46" s="6750"/>
      <c r="AK46" s="6750"/>
      <c r="AL46" s="6749"/>
      <c r="AM46" s="6750"/>
      <c r="AN46" s="6750"/>
      <c r="AO46" s="6750"/>
      <c r="AP46" s="6750"/>
      <c r="AQ46" s="6750"/>
      <c r="AR46" s="6750"/>
      <c r="AS46" s="6751"/>
      <c r="AT46" s="6749"/>
      <c r="AU46" s="6750"/>
      <c r="AV46" s="6750"/>
      <c r="AW46" s="6750"/>
      <c r="AX46" s="6750"/>
      <c r="AY46" s="6750"/>
      <c r="AZ46" s="6750"/>
      <c r="BA46" s="6751"/>
      <c r="BB46" s="6749"/>
      <c r="BC46" s="6750"/>
      <c r="BD46" s="6750"/>
      <c r="BE46" s="6750"/>
      <c r="BF46" s="6750"/>
      <c r="BG46" s="6750"/>
      <c r="BH46" s="6750"/>
      <c r="BI46" s="6751"/>
      <c r="BJ46" s="6749"/>
      <c r="BK46" s="6750"/>
      <c r="BL46" s="6750"/>
      <c r="BM46" s="6750"/>
      <c r="BN46" s="6750"/>
      <c r="BO46" s="6750"/>
      <c r="BP46" s="6750"/>
      <c r="BQ46" s="6751"/>
      <c r="BR46" s="6749"/>
      <c r="BS46" s="6750"/>
      <c r="BT46" s="6750"/>
      <c r="BU46" s="6750"/>
      <c r="BV46" s="6750"/>
      <c r="BW46" s="6750"/>
      <c r="BX46" s="6750"/>
      <c r="BY46" s="6751"/>
      <c r="BZ46" s="6751"/>
      <c r="CA46" s="1177" t="s">
        <v>522</v>
      </c>
      <c r="CC46" s="426"/>
      <c r="CD46" s="426" t="str">
        <f t="shared" si="1"/>
        <v xml:space="preserve">Источник тепловой энергии  </v>
      </c>
      <c r="CE46" s="426"/>
      <c r="CF46" s="426"/>
    </row>
    <row r="47" spans="1:84" ht="47.25" customHeight="1">
      <c r="A47" s="1279" t="s">
        <v>224</v>
      </c>
      <c r="B47" s="1279" t="s">
        <v>225</v>
      </c>
      <c r="C47" s="1279" t="s">
        <v>226</v>
      </c>
      <c r="D47" s="1279" t="s">
        <v>227</v>
      </c>
      <c r="E47" s="6764"/>
      <c r="F47" s="6764"/>
      <c r="G47" s="6764"/>
      <c r="H47" s="6764"/>
      <c r="I47" s="6761" t="str">
        <f>S46&amp;".1"</f>
        <v>1.1.1.1.1</v>
      </c>
      <c r="J47" s="1279"/>
      <c r="K47" s="1279"/>
      <c r="L47" s="1280" t="s">
        <v>523</v>
      </c>
      <c r="P47" s="6762">
        <v>1</v>
      </c>
      <c r="Q47" s="1248"/>
      <c r="R47" s="281"/>
      <c r="S47" s="1253" t="str">
        <f>$I47</f>
        <v>1.1.1.1.1</v>
      </c>
      <c r="T47" s="204" t="s">
        <v>524</v>
      </c>
      <c r="U47" s="219"/>
      <c r="V47" s="6752"/>
      <c r="W47" s="6753"/>
      <c r="X47" s="6753"/>
      <c r="Y47" s="6753"/>
      <c r="Z47" s="6753"/>
      <c r="AA47" s="6753"/>
      <c r="AB47" s="6753"/>
      <c r="AC47" s="6754"/>
      <c r="AD47" s="6752" t="s">
        <v>566</v>
      </c>
      <c r="AE47" s="6753"/>
      <c r="AF47" s="6753"/>
      <c r="AG47" s="6753"/>
      <c r="AH47" s="6753"/>
      <c r="AI47" s="6753"/>
      <c r="AJ47" s="6753"/>
      <c r="AK47" s="6753"/>
      <c r="AL47" s="6752"/>
      <c r="AM47" s="6753"/>
      <c r="AN47" s="6753"/>
      <c r="AO47" s="6753"/>
      <c r="AP47" s="6753"/>
      <c r="AQ47" s="6753"/>
      <c r="AR47" s="6753"/>
      <c r="AS47" s="6754"/>
      <c r="AT47" s="6752"/>
      <c r="AU47" s="6753"/>
      <c r="AV47" s="6753"/>
      <c r="AW47" s="6753"/>
      <c r="AX47" s="6753"/>
      <c r="AY47" s="6753"/>
      <c r="AZ47" s="6753"/>
      <c r="BA47" s="6754"/>
      <c r="BB47" s="6752"/>
      <c r="BC47" s="6753"/>
      <c r="BD47" s="6753"/>
      <c r="BE47" s="6753"/>
      <c r="BF47" s="6753"/>
      <c r="BG47" s="6753"/>
      <c r="BH47" s="6753"/>
      <c r="BI47" s="6754"/>
      <c r="BJ47" s="6752"/>
      <c r="BK47" s="6753"/>
      <c r="BL47" s="6753"/>
      <c r="BM47" s="6753"/>
      <c r="BN47" s="6753"/>
      <c r="BO47" s="6753"/>
      <c r="BP47" s="6753"/>
      <c r="BQ47" s="6754"/>
      <c r="BR47" s="6752"/>
      <c r="BS47" s="6753"/>
      <c r="BT47" s="6753"/>
      <c r="BU47" s="6753"/>
      <c r="BV47" s="6753"/>
      <c r="BW47" s="6753"/>
      <c r="BX47" s="6753"/>
      <c r="BY47" s="6754"/>
      <c r="BZ47" s="6754"/>
      <c r="CA47" s="1177" t="s">
        <v>525</v>
      </c>
      <c r="CC47" s="426"/>
      <c r="CD47" s="426" t="str">
        <f t="shared" si="1"/>
        <v>Схема подключения теплопотребляющей установки к коллектору источника тепловой энергии</v>
      </c>
      <c r="CE47" s="426"/>
      <c r="CF47" s="426"/>
    </row>
    <row r="48" spans="1:84" ht="21" customHeight="1">
      <c r="A48" s="1279" t="s">
        <v>224</v>
      </c>
      <c r="B48" s="1279" t="s">
        <v>225</v>
      </c>
      <c r="C48" s="1279" t="s">
        <v>226</v>
      </c>
      <c r="D48" s="1279" t="s">
        <v>227</v>
      </c>
      <c r="E48" s="6764"/>
      <c r="F48" s="6764"/>
      <c r="G48" s="6764"/>
      <c r="H48" s="6764"/>
      <c r="I48" s="6784"/>
      <c r="J48" s="6761" t="str">
        <f>I47&amp;".1"</f>
        <v>1.1.1.1.1.1</v>
      </c>
      <c r="K48" s="1279"/>
      <c r="L48" s="1280" t="s">
        <v>526</v>
      </c>
      <c r="P48" s="6762"/>
      <c r="Q48" s="6762">
        <v>1</v>
      </c>
      <c r="R48" s="282"/>
      <c r="S48" s="1253" t="str">
        <f>$J48</f>
        <v>1.1.1.1.1.1</v>
      </c>
      <c r="T48" s="205" t="s">
        <v>527</v>
      </c>
      <c r="U48" s="219"/>
      <c r="V48" s="6752"/>
      <c r="W48" s="6753"/>
      <c r="X48" s="6753"/>
      <c r="Y48" s="6753"/>
      <c r="Z48" s="6753"/>
      <c r="AA48" s="6753"/>
      <c r="AB48" s="6753"/>
      <c r="AC48" s="6754"/>
      <c r="AD48" s="6752" t="s">
        <v>566</v>
      </c>
      <c r="AE48" s="6753"/>
      <c r="AF48" s="6753"/>
      <c r="AG48" s="6753"/>
      <c r="AH48" s="6753"/>
      <c r="AI48" s="6753"/>
      <c r="AJ48" s="6753"/>
      <c r="AK48" s="6753"/>
      <c r="AL48" s="6752"/>
      <c r="AM48" s="6753"/>
      <c r="AN48" s="6753"/>
      <c r="AO48" s="6753"/>
      <c r="AP48" s="6753"/>
      <c r="AQ48" s="6753"/>
      <c r="AR48" s="6753"/>
      <c r="AS48" s="6754"/>
      <c r="AT48" s="6752"/>
      <c r="AU48" s="6753"/>
      <c r="AV48" s="6753"/>
      <c r="AW48" s="6753"/>
      <c r="AX48" s="6753"/>
      <c r="AY48" s="6753"/>
      <c r="AZ48" s="6753"/>
      <c r="BA48" s="6754"/>
      <c r="BB48" s="6752"/>
      <c r="BC48" s="6753"/>
      <c r="BD48" s="6753"/>
      <c r="BE48" s="6753"/>
      <c r="BF48" s="6753"/>
      <c r="BG48" s="6753"/>
      <c r="BH48" s="6753"/>
      <c r="BI48" s="6754"/>
      <c r="BJ48" s="6752"/>
      <c r="BK48" s="6753"/>
      <c r="BL48" s="6753"/>
      <c r="BM48" s="6753"/>
      <c r="BN48" s="6753"/>
      <c r="BO48" s="6753"/>
      <c r="BP48" s="6753"/>
      <c r="BQ48" s="6754"/>
      <c r="BR48" s="6752"/>
      <c r="BS48" s="6753"/>
      <c r="BT48" s="6753"/>
      <c r="BU48" s="6753"/>
      <c r="BV48" s="6753"/>
      <c r="BW48" s="6753"/>
      <c r="BX48" s="6753"/>
      <c r="BY48" s="6754"/>
      <c r="BZ48" s="6754"/>
      <c r="CA48" s="1177" t="s">
        <v>528</v>
      </c>
      <c r="CC48" s="426"/>
      <c r="CD48" s="426" t="str">
        <f t="shared" si="1"/>
        <v>Группа потребителей</v>
      </c>
      <c r="CE48" s="426"/>
      <c r="CF48" s="426"/>
    </row>
    <row r="49" spans="1:84" ht="21" customHeight="1">
      <c r="A49" s="1279" t="s">
        <v>224</v>
      </c>
      <c r="B49" s="1279" t="s">
        <v>225</v>
      </c>
      <c r="C49" s="1279" t="s">
        <v>226</v>
      </c>
      <c r="D49" s="1279" t="s">
        <v>227</v>
      </c>
      <c r="E49" s="6764"/>
      <c r="F49" s="6764"/>
      <c r="G49" s="6764"/>
      <c r="H49" s="6764"/>
      <c r="I49" s="6784"/>
      <c r="J49" s="6784"/>
      <c r="K49" s="6761" t="str">
        <f>J48&amp;".1"</f>
        <v>1.1.1.1.1.1.1</v>
      </c>
      <c r="L49" s="1280" t="s">
        <v>529</v>
      </c>
      <c r="P49" s="6762"/>
      <c r="Q49" s="6762"/>
      <c r="R49" s="282">
        <v>1</v>
      </c>
      <c r="S49" s="1253" t="str">
        <f>$K49</f>
        <v>1.1.1.1.1.1.1</v>
      </c>
      <c r="T49" s="1264" t="s">
        <v>567</v>
      </c>
      <c r="U49" s="219"/>
      <c r="V49" s="668"/>
      <c r="W49" s="251"/>
      <c r="X49" s="668"/>
      <c r="Y49" s="1176"/>
      <c r="Z49" s="6766"/>
      <c r="AA49" s="6610" t="s">
        <v>61</v>
      </c>
      <c r="AB49" s="6766"/>
      <c r="AC49" s="6610" t="s">
        <v>61</v>
      </c>
      <c r="AD49" s="668">
        <v>3585.55</v>
      </c>
      <c r="AE49" s="251"/>
      <c r="AF49" s="668"/>
      <c r="AG49" s="1176"/>
      <c r="AH49" s="6766">
        <v>45292.465196759258</v>
      </c>
      <c r="AI49" s="6610" t="s">
        <v>61</v>
      </c>
      <c r="AJ49" s="6785">
        <v>45473.465277777781</v>
      </c>
      <c r="AK49" s="6610" t="s">
        <v>61</v>
      </c>
      <c r="AL49" s="2078">
        <v>3599.88</v>
      </c>
      <c r="AM49" s="2079"/>
      <c r="AN49" s="2078"/>
      <c r="AO49" s="2080"/>
      <c r="AP49" s="6766">
        <v>45474.465868055559</v>
      </c>
      <c r="AQ49" s="6610" t="s">
        <v>61</v>
      </c>
      <c r="AR49" s="6766">
        <v>45838.466041666667</v>
      </c>
      <c r="AS49" s="6610" t="s">
        <v>61</v>
      </c>
      <c r="AT49" s="2078">
        <v>4056.38</v>
      </c>
      <c r="AU49" s="2079"/>
      <c r="AV49" s="2078"/>
      <c r="AW49" s="2080"/>
      <c r="AX49" s="6766">
        <v>45839.466504629629</v>
      </c>
      <c r="AY49" s="6610" t="s">
        <v>61</v>
      </c>
      <c r="AZ49" s="6766">
        <v>46203.466828703706</v>
      </c>
      <c r="BA49" s="6610" t="s">
        <v>61</v>
      </c>
      <c r="BB49" s="2078">
        <v>4196.6099999999997</v>
      </c>
      <c r="BC49" s="2079"/>
      <c r="BD49" s="2078"/>
      <c r="BE49" s="2080"/>
      <c r="BF49" s="6766">
        <v>46204.467222222222</v>
      </c>
      <c r="BG49" s="6610" t="s">
        <v>61</v>
      </c>
      <c r="BH49" s="6766">
        <v>46568.467395833337</v>
      </c>
      <c r="BI49" s="6610" t="s">
        <v>61</v>
      </c>
      <c r="BJ49" s="2078">
        <v>4336.8500000000004</v>
      </c>
      <c r="BK49" s="2079"/>
      <c r="BL49" s="2078"/>
      <c r="BM49" s="2080"/>
      <c r="BN49" s="6766">
        <v>46569.468032407407</v>
      </c>
      <c r="BO49" s="6610" t="s">
        <v>61</v>
      </c>
      <c r="BP49" s="6766">
        <v>46934.468229166669</v>
      </c>
      <c r="BQ49" s="6610" t="s">
        <v>61</v>
      </c>
      <c r="BR49" s="2078">
        <v>4481.88</v>
      </c>
      <c r="BS49" s="2079"/>
      <c r="BT49" s="2078"/>
      <c r="BU49" s="2080"/>
      <c r="BV49" s="6766">
        <v>46935.46875</v>
      </c>
      <c r="BW49" s="6610" t="s">
        <v>61</v>
      </c>
      <c r="BX49" s="6766">
        <v>47118.4690162037</v>
      </c>
      <c r="BY49" s="6610" t="s">
        <v>61</v>
      </c>
      <c r="BZ49" s="1265"/>
      <c r="CA49" s="6758" t="s">
        <v>530</v>
      </c>
      <c r="CB49" s="437" t="e">
        <f ca="1">STRCHECKDATE(V50:BZ50)</f>
        <v>#NAME?</v>
      </c>
      <c r="CC49" s="426"/>
      <c r="CD49" s="426" t="str">
        <f t="shared" si="1"/>
        <v>вода</v>
      </c>
      <c r="CE49" s="426"/>
      <c r="CF49" s="426"/>
    </row>
    <row r="50" spans="1:84" ht="0.75" customHeight="1">
      <c r="A50" s="1279" t="s">
        <v>224</v>
      </c>
      <c r="B50" s="1279" t="s">
        <v>225</v>
      </c>
      <c r="C50" s="1279" t="s">
        <v>226</v>
      </c>
      <c r="D50" s="1279" t="s">
        <v>227</v>
      </c>
      <c r="E50" s="6764"/>
      <c r="F50" s="6764"/>
      <c r="G50" s="6764"/>
      <c r="H50" s="6764"/>
      <c r="I50" s="6784"/>
      <c r="J50" s="6784"/>
      <c r="K50" s="6761"/>
      <c r="L50" s="1280"/>
      <c r="P50" s="6762"/>
      <c r="Q50" s="6762"/>
      <c r="R50" s="282"/>
      <c r="S50" s="1259"/>
      <c r="T50" s="219"/>
      <c r="U50" s="219"/>
      <c r="V50" s="251"/>
      <c r="W50" s="251"/>
      <c r="X50" s="251"/>
      <c r="Y50" s="255" t="str">
        <f>Z49&amp;"-"&amp;AB49</f>
        <v>-</v>
      </c>
      <c r="Z50" s="6767"/>
      <c r="AA50" s="6610"/>
      <c r="AB50" s="6767"/>
      <c r="AC50" s="6610"/>
      <c r="AD50" s="251"/>
      <c r="AE50" s="251"/>
      <c r="AF50" s="251"/>
      <c r="AG50" s="255" t="str">
        <f>AH49&amp;"-"&amp;AJ49</f>
        <v>45292,4651967593-45473,4652777778</v>
      </c>
      <c r="AH50" s="6767"/>
      <c r="AI50" s="6610"/>
      <c r="AJ50" s="6786"/>
      <c r="AK50" s="6610"/>
      <c r="AL50" s="2079"/>
      <c r="AM50" s="2079"/>
      <c r="AN50" s="2079"/>
      <c r="AO50" s="2082" t="str">
        <f>AP49&amp;"-"&amp;AR49</f>
        <v>45474,4658680556-45838,4660416667</v>
      </c>
      <c r="AP50" s="6767"/>
      <c r="AQ50" s="6610"/>
      <c r="AR50" s="6767"/>
      <c r="AS50" s="6610"/>
      <c r="AT50" s="2079"/>
      <c r="AU50" s="2079"/>
      <c r="AV50" s="2079"/>
      <c r="AW50" s="2082" t="str">
        <f>AX49&amp;"-"&amp;AZ49</f>
        <v>45839,4665046296-46203,4668287037</v>
      </c>
      <c r="AX50" s="6767"/>
      <c r="AY50" s="6610"/>
      <c r="AZ50" s="6767"/>
      <c r="BA50" s="6610"/>
      <c r="BB50" s="2079"/>
      <c r="BC50" s="2079"/>
      <c r="BD50" s="2079"/>
      <c r="BE50" s="2082" t="str">
        <f>BF49&amp;"-"&amp;BH49</f>
        <v>46204,4672222222-46568,4673958333</v>
      </c>
      <c r="BF50" s="6767"/>
      <c r="BG50" s="6610"/>
      <c r="BH50" s="6767"/>
      <c r="BI50" s="6610"/>
      <c r="BJ50" s="2079"/>
      <c r="BK50" s="2079"/>
      <c r="BL50" s="2079"/>
      <c r="BM50" s="2082" t="str">
        <f>BN49&amp;"-"&amp;BP49</f>
        <v>46569,4680324074-46934,4682291667</v>
      </c>
      <c r="BN50" s="6767"/>
      <c r="BO50" s="6610"/>
      <c r="BP50" s="6767"/>
      <c r="BQ50" s="6610"/>
      <c r="BR50" s="2079"/>
      <c r="BS50" s="2079"/>
      <c r="BT50" s="2079"/>
      <c r="BU50" s="2082" t="str">
        <f>BV49&amp;"-"&amp;BX49</f>
        <v>46935,46875-47118,4690162037</v>
      </c>
      <c r="BV50" s="6767"/>
      <c r="BW50" s="6610"/>
      <c r="BX50" s="6767"/>
      <c r="BY50" s="6610"/>
      <c r="BZ50" s="1266"/>
      <c r="CA50" s="6759"/>
      <c r="CC50" s="426"/>
      <c r="CD50" s="426" t="str">
        <f t="shared" si="1"/>
        <v/>
      </c>
      <c r="CE50" s="426"/>
      <c r="CF50" s="426"/>
    </row>
    <row r="51" spans="1:84" ht="11.25" customHeight="1">
      <c r="A51" s="1279" t="s">
        <v>224</v>
      </c>
      <c r="B51" s="1279" t="s">
        <v>225</v>
      </c>
      <c r="C51" s="1279" t="s">
        <v>226</v>
      </c>
      <c r="D51" s="1279" t="s">
        <v>227</v>
      </c>
      <c r="E51" s="6764"/>
      <c r="F51" s="6764"/>
      <c r="G51" s="6764"/>
      <c r="H51" s="6764"/>
      <c r="I51" s="6784"/>
      <c r="J51" s="6761"/>
      <c r="K51" s="1279"/>
      <c r="L51" s="1280"/>
      <c r="P51" s="6762"/>
      <c r="Q51" s="6762"/>
      <c r="R51" s="281"/>
      <c r="S51" s="1198"/>
      <c r="T51" s="207" t="s">
        <v>531</v>
      </c>
      <c r="U51" s="295"/>
      <c r="V51" s="295"/>
      <c r="W51" s="295"/>
      <c r="X51" s="295"/>
      <c r="Y51" s="295"/>
      <c r="Z51" s="295"/>
      <c r="AA51" s="295"/>
      <c r="AB51" s="295"/>
      <c r="AC51" s="295"/>
      <c r="AD51" s="295"/>
      <c r="AE51" s="295"/>
      <c r="AF51" s="295"/>
      <c r="AG51" s="295"/>
      <c r="AH51" s="295"/>
      <c r="AI51" s="295"/>
      <c r="AJ51" s="295"/>
      <c r="AK51" s="295"/>
      <c r="AL51" s="2214"/>
      <c r="AM51" s="2215"/>
      <c r="AN51" s="2216"/>
      <c r="AO51" s="2217"/>
      <c r="AP51" s="2218"/>
      <c r="AQ51" s="2219"/>
      <c r="AR51" s="2220"/>
      <c r="AS51" s="2221"/>
      <c r="AT51" s="2222"/>
      <c r="AU51" s="2223"/>
      <c r="AV51" s="2224"/>
      <c r="AW51" s="2225"/>
      <c r="AX51" s="2226"/>
      <c r="AY51" s="2227"/>
      <c r="AZ51" s="2228"/>
      <c r="BA51" s="2229"/>
      <c r="BB51" s="2230"/>
      <c r="BC51" s="2231"/>
      <c r="BD51" s="2232"/>
      <c r="BE51" s="2233"/>
      <c r="BF51" s="2234"/>
      <c r="BG51" s="2235"/>
      <c r="BH51" s="2236"/>
      <c r="BI51" s="2237"/>
      <c r="BJ51" s="2238"/>
      <c r="BK51" s="2239"/>
      <c r="BL51" s="2240"/>
      <c r="BM51" s="2241"/>
      <c r="BN51" s="2242"/>
      <c r="BO51" s="2243"/>
      <c r="BP51" s="2244"/>
      <c r="BQ51" s="2245"/>
      <c r="BR51" s="2246"/>
      <c r="BS51" s="2247"/>
      <c r="BT51" s="2248"/>
      <c r="BU51" s="2249"/>
      <c r="BV51" s="2250"/>
      <c r="BW51" s="2251"/>
      <c r="BX51" s="2252"/>
      <c r="BY51" s="2253"/>
      <c r="BZ51" s="250"/>
      <c r="CA51" s="6760"/>
      <c r="CC51" s="426"/>
      <c r="CD51" s="426" t="str">
        <f t="shared" si="1"/>
        <v>Добавить вид теплоносителя (параметры теплоносителя)</v>
      </c>
      <c r="CE51" s="426"/>
      <c r="CF51" s="426"/>
    </row>
    <row r="52" spans="1:84" ht="11.25" customHeight="1">
      <c r="A52" s="1279" t="s">
        <v>224</v>
      </c>
      <c r="B52" s="1279" t="s">
        <v>225</v>
      </c>
      <c r="C52" s="1279" t="s">
        <v>226</v>
      </c>
      <c r="D52" s="1279" t="s">
        <v>227</v>
      </c>
      <c r="E52" s="6764"/>
      <c r="F52" s="6764"/>
      <c r="G52" s="6764"/>
      <c r="H52" s="6764"/>
      <c r="I52" s="6761"/>
      <c r="J52" s="1279"/>
      <c r="K52" s="1279"/>
      <c r="L52" s="1280"/>
      <c r="P52" s="6762"/>
      <c r="Q52" s="1248"/>
      <c r="R52" s="281"/>
      <c r="S52" s="1198"/>
      <c r="T52" s="206" t="s">
        <v>532</v>
      </c>
      <c r="U52" s="295"/>
      <c r="V52" s="295"/>
      <c r="W52" s="295"/>
      <c r="X52" s="295"/>
      <c r="Y52" s="295"/>
      <c r="Z52" s="295"/>
      <c r="AA52" s="295"/>
      <c r="AB52" s="295"/>
      <c r="AC52" s="294"/>
      <c r="AD52" s="295"/>
      <c r="AE52" s="295"/>
      <c r="AF52" s="295"/>
      <c r="AG52" s="295"/>
      <c r="AH52" s="295"/>
      <c r="AI52" s="295"/>
      <c r="AJ52" s="295"/>
      <c r="AK52" s="294"/>
      <c r="AL52" s="2254"/>
      <c r="AM52" s="2255"/>
      <c r="AN52" s="2256"/>
      <c r="AO52" s="2257"/>
      <c r="AP52" s="2258"/>
      <c r="AQ52" s="2259"/>
      <c r="AR52" s="2260"/>
      <c r="AS52" s="2261"/>
      <c r="AT52" s="2262"/>
      <c r="AU52" s="2263"/>
      <c r="AV52" s="2264"/>
      <c r="AW52" s="2265"/>
      <c r="AX52" s="2266"/>
      <c r="AY52" s="2267"/>
      <c r="AZ52" s="2268"/>
      <c r="BA52" s="2269"/>
      <c r="BB52" s="2270"/>
      <c r="BC52" s="2271"/>
      <c r="BD52" s="2272"/>
      <c r="BE52" s="2273"/>
      <c r="BF52" s="2274"/>
      <c r="BG52" s="2275"/>
      <c r="BH52" s="2276"/>
      <c r="BI52" s="2277"/>
      <c r="BJ52" s="2278"/>
      <c r="BK52" s="2279"/>
      <c r="BL52" s="2280"/>
      <c r="BM52" s="2281"/>
      <c r="BN52" s="2282"/>
      <c r="BO52" s="2283"/>
      <c r="BP52" s="2284"/>
      <c r="BQ52" s="2285"/>
      <c r="BR52" s="2286"/>
      <c r="BS52" s="2287"/>
      <c r="BT52" s="2288"/>
      <c r="BU52" s="2289"/>
      <c r="BV52" s="2290"/>
      <c r="BW52" s="2291"/>
      <c r="BX52" s="2292"/>
      <c r="BY52" s="2293"/>
      <c r="BZ52" s="295"/>
      <c r="CA52" s="222"/>
      <c r="CC52" s="426"/>
      <c r="CD52" s="426" t="str">
        <f t="shared" si="1"/>
        <v>Добавить группу потребителей</v>
      </c>
      <c r="CE52" s="426"/>
      <c r="CF52" s="426"/>
    </row>
    <row r="53" spans="1:84" ht="14.25" customHeight="1">
      <c r="A53" s="1279" t="s">
        <v>224</v>
      </c>
      <c r="B53" s="1279" t="s">
        <v>225</v>
      </c>
      <c r="C53" s="1279" t="s">
        <v>226</v>
      </c>
      <c r="D53" s="1279" t="s">
        <v>227</v>
      </c>
      <c r="E53" s="6764"/>
      <c r="F53" s="6764"/>
      <c r="G53" s="6764"/>
      <c r="H53" s="6763"/>
      <c r="I53" s="1279"/>
      <c r="J53" s="1279"/>
      <c r="K53" s="1279"/>
      <c r="L53" s="1280"/>
      <c r="M53" s="1281"/>
      <c r="N53" s="1281"/>
      <c r="O53" s="462"/>
      <c r="P53" s="285"/>
      <c r="Q53" s="304"/>
      <c r="R53" s="280"/>
      <c r="S53" s="1198"/>
      <c r="T53" s="292" t="s">
        <v>533</v>
      </c>
      <c r="U53" s="295"/>
      <c r="V53" s="295"/>
      <c r="W53" s="295"/>
      <c r="X53" s="295"/>
      <c r="Y53" s="295"/>
      <c r="Z53" s="295"/>
      <c r="AA53" s="295"/>
      <c r="AB53" s="295"/>
      <c r="AC53" s="294"/>
      <c r="AD53" s="295"/>
      <c r="AE53" s="295"/>
      <c r="AF53" s="295"/>
      <c r="AG53" s="295"/>
      <c r="AH53" s="295"/>
      <c r="AI53" s="295"/>
      <c r="AJ53" s="295"/>
      <c r="AK53" s="294"/>
      <c r="AL53" s="2294"/>
      <c r="AM53" s="2295"/>
      <c r="AN53" s="2296"/>
      <c r="AO53" s="2297"/>
      <c r="AP53" s="2298"/>
      <c r="AQ53" s="2299"/>
      <c r="AR53" s="2300"/>
      <c r="AS53" s="2301"/>
      <c r="AT53" s="2302"/>
      <c r="AU53" s="2303"/>
      <c r="AV53" s="2304"/>
      <c r="AW53" s="2305"/>
      <c r="AX53" s="2306"/>
      <c r="AY53" s="2307"/>
      <c r="AZ53" s="2308"/>
      <c r="BA53" s="2309"/>
      <c r="BB53" s="2310"/>
      <c r="BC53" s="2311"/>
      <c r="BD53" s="2312"/>
      <c r="BE53" s="2313"/>
      <c r="BF53" s="2314"/>
      <c r="BG53" s="2315"/>
      <c r="BH53" s="2316"/>
      <c r="BI53" s="2317"/>
      <c r="BJ53" s="2318"/>
      <c r="BK53" s="2319"/>
      <c r="BL53" s="2320"/>
      <c r="BM53" s="2321"/>
      <c r="BN53" s="2322"/>
      <c r="BO53" s="2323"/>
      <c r="BP53" s="2324"/>
      <c r="BQ53" s="2325"/>
      <c r="BR53" s="2326"/>
      <c r="BS53" s="2327"/>
      <c r="BT53" s="2328"/>
      <c r="BU53" s="2329"/>
      <c r="BV53" s="2330"/>
      <c r="BW53" s="2331"/>
      <c r="BX53" s="2332"/>
      <c r="BY53" s="2333"/>
      <c r="BZ53" s="295"/>
      <c r="CA53" s="222"/>
      <c r="CC53" s="426"/>
      <c r="CD53" s="426" t="str">
        <f t="shared" si="1"/>
        <v>Добавить схему подключения</v>
      </c>
      <c r="CE53" s="426"/>
      <c r="CF53" s="426"/>
    </row>
    <row r="54" spans="1:84" s="2067" customFormat="1" ht="0.75" customHeight="1">
      <c r="A54" s="1260" t="s">
        <v>224</v>
      </c>
      <c r="B54" s="1260" t="s">
        <v>225</v>
      </c>
      <c r="C54" s="1260" t="s">
        <v>226</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2204"/>
      <c r="AM54" s="2204"/>
      <c r="AN54" s="2204"/>
      <c r="AO54" s="2204"/>
      <c r="AP54" s="2204"/>
      <c r="AQ54" s="2204"/>
      <c r="AR54" s="2204"/>
      <c r="AS54" s="2204"/>
      <c r="AT54" s="2204"/>
      <c r="AU54" s="2204"/>
      <c r="AV54" s="2204"/>
      <c r="AW54" s="2204"/>
      <c r="AX54" s="2204"/>
      <c r="AY54" s="2204"/>
      <c r="AZ54" s="2204"/>
      <c r="BA54" s="2204"/>
      <c r="BB54" s="2204"/>
      <c r="BC54" s="2204"/>
      <c r="BD54" s="2204"/>
      <c r="BE54" s="2204"/>
      <c r="BF54" s="2204"/>
      <c r="BG54" s="2204"/>
      <c r="BH54" s="2204"/>
      <c r="BI54" s="2204"/>
      <c r="BJ54" s="2204"/>
      <c r="BK54" s="2204"/>
      <c r="BL54" s="2204"/>
      <c r="BM54" s="2204"/>
      <c r="BN54" s="2204"/>
      <c r="BO54" s="2204"/>
      <c r="BP54" s="2204"/>
      <c r="BQ54" s="2204"/>
      <c r="BR54" s="2204"/>
      <c r="BS54" s="2204"/>
      <c r="BT54" s="2204"/>
      <c r="BU54" s="2204"/>
      <c r="BV54" s="2204"/>
      <c r="BW54" s="2204"/>
      <c r="BX54" s="2204"/>
      <c r="BY54" s="2204"/>
      <c r="BZ54" s="1242"/>
      <c r="CA54" s="1242"/>
      <c r="CC54" s="706"/>
      <c r="CD54" s="706" t="str">
        <f t="shared" si="1"/>
        <v>Добавить источник для дифференциации</v>
      </c>
      <c r="CE54" s="706"/>
      <c r="CF54" s="706"/>
    </row>
    <row r="55" spans="1:84" s="2067" customFormat="1" ht="0.75" customHeight="1">
      <c r="A55" s="1260" t="s">
        <v>224</v>
      </c>
      <c r="B55" s="1260" t="s">
        <v>225</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2204"/>
      <c r="AM55" s="2204"/>
      <c r="AN55" s="2204"/>
      <c r="AO55" s="2204"/>
      <c r="AP55" s="2204"/>
      <c r="AQ55" s="2204"/>
      <c r="AR55" s="2204"/>
      <c r="AS55" s="2204"/>
      <c r="AT55" s="2204"/>
      <c r="AU55" s="2204"/>
      <c r="AV55" s="2204"/>
      <c r="AW55" s="2204"/>
      <c r="AX55" s="2204"/>
      <c r="AY55" s="2204"/>
      <c r="AZ55" s="2204"/>
      <c r="BA55" s="2204"/>
      <c r="BB55" s="2204"/>
      <c r="BC55" s="2204"/>
      <c r="BD55" s="2204"/>
      <c r="BE55" s="2204"/>
      <c r="BF55" s="2204"/>
      <c r="BG55" s="2204"/>
      <c r="BH55" s="2204"/>
      <c r="BI55" s="2204"/>
      <c r="BJ55" s="2204"/>
      <c r="BK55" s="2204"/>
      <c r="BL55" s="2204"/>
      <c r="BM55" s="2204"/>
      <c r="BN55" s="2204"/>
      <c r="BO55" s="2204"/>
      <c r="BP55" s="2204"/>
      <c r="BQ55" s="2204"/>
      <c r="BR55" s="2204"/>
      <c r="BS55" s="2204"/>
      <c r="BT55" s="2204"/>
      <c r="BU55" s="2204"/>
      <c r="BV55" s="2204"/>
      <c r="BW55" s="2204"/>
      <c r="BX55" s="2204"/>
      <c r="BY55" s="2204"/>
      <c r="BZ55" s="1242"/>
      <c r="CA55" s="1242"/>
      <c r="CC55" s="706"/>
      <c r="CD55" s="706" t="str">
        <f t="shared" si="1"/>
        <v>Добавить централизованную систему для дифференциации</v>
      </c>
      <c r="CE55" s="706"/>
      <c r="CF55" s="706"/>
    </row>
    <row r="56" spans="1:84" s="2334" customFormat="1" ht="21" customHeight="1">
      <c r="A56" s="2335"/>
      <c r="B56" s="2335" t="s">
        <v>230</v>
      </c>
      <c r="C56" s="2335"/>
      <c r="D56" s="2335"/>
      <c r="E56" s="6764"/>
      <c r="F56" s="6763" t="s">
        <v>98</v>
      </c>
      <c r="G56" s="2335"/>
      <c r="H56" s="2335"/>
      <c r="I56" s="2335"/>
      <c r="J56" s="2335"/>
      <c r="K56" s="2335"/>
      <c r="L56" s="2336"/>
      <c r="M56" s="2337"/>
      <c r="N56" s="2337"/>
      <c r="O56" s="2337"/>
      <c r="P56" s="2338"/>
      <c r="Q56" s="2339"/>
      <c r="R56" s="2340"/>
      <c r="S56" s="2341" t="str">
        <f>INDEX(PT_DIFFERENTIATION_NUM_TER,MATCH(B56,PT_DIFFERENTIATION_TER_ID,0))</f>
        <v>1.2</v>
      </c>
      <c r="T56" s="2342" t="s">
        <v>517</v>
      </c>
      <c r="U56" s="2343"/>
      <c r="V56" s="6749"/>
      <c r="W56" s="6750"/>
      <c r="X56" s="6750"/>
      <c r="Y56" s="6750"/>
      <c r="Z56" s="6750"/>
      <c r="AA56" s="6750"/>
      <c r="AB56" s="6750"/>
      <c r="AC56" s="6751"/>
      <c r="AD56" s="6749" t="str">
        <f>INDEX(PT_DIFFERENTIATION_TER,MATCH(B56,PT_DIFFERENTIATION_TER_ID,0))</f>
        <v>Территория 16</v>
      </c>
      <c r="AE56" s="6750"/>
      <c r="AF56" s="6750"/>
      <c r="AG56" s="6750"/>
      <c r="AH56" s="6750"/>
      <c r="AI56" s="6750"/>
      <c r="AJ56" s="6750"/>
      <c r="AK56" s="6750"/>
      <c r="AL56" s="6749"/>
      <c r="AM56" s="6750"/>
      <c r="AN56" s="6750"/>
      <c r="AO56" s="6750"/>
      <c r="AP56" s="6750"/>
      <c r="AQ56" s="6750"/>
      <c r="AR56" s="6750"/>
      <c r="AS56" s="6751"/>
      <c r="AT56" s="6749"/>
      <c r="AU56" s="6750"/>
      <c r="AV56" s="6750"/>
      <c r="AW56" s="6750"/>
      <c r="AX56" s="6750"/>
      <c r="AY56" s="6750"/>
      <c r="AZ56" s="6750"/>
      <c r="BA56" s="6751"/>
      <c r="BB56" s="6749"/>
      <c r="BC56" s="6750"/>
      <c r="BD56" s="6750"/>
      <c r="BE56" s="6750"/>
      <c r="BF56" s="6750"/>
      <c r="BG56" s="6750"/>
      <c r="BH56" s="6750"/>
      <c r="BI56" s="6751"/>
      <c r="BJ56" s="6749"/>
      <c r="BK56" s="6750"/>
      <c r="BL56" s="6750"/>
      <c r="BM56" s="6750"/>
      <c r="BN56" s="6750"/>
      <c r="BO56" s="6750"/>
      <c r="BP56" s="6750"/>
      <c r="BQ56" s="6751"/>
      <c r="BR56" s="6749"/>
      <c r="BS56" s="6750"/>
      <c r="BT56" s="6750"/>
      <c r="BU56" s="6750"/>
      <c r="BV56" s="6750"/>
      <c r="BW56" s="6750"/>
      <c r="BX56" s="6750"/>
      <c r="BY56" s="6751"/>
      <c r="BZ56" s="6751"/>
      <c r="CA56" s="2344" t="s">
        <v>518</v>
      </c>
      <c r="CB56" s="2211"/>
      <c r="CC56" s="2345"/>
      <c r="CD56" s="2345" t="str">
        <f t="shared" si="1"/>
        <v>Территория действия тарифа</v>
      </c>
      <c r="CE56" s="2345"/>
      <c r="CF56" s="2345"/>
    </row>
    <row r="57" spans="1:84" s="2346" customFormat="1" ht="23.25" customHeight="1">
      <c r="A57" s="2335"/>
      <c r="B57" s="2335"/>
      <c r="C57" s="2335" t="s">
        <v>231</v>
      </c>
      <c r="D57" s="2335"/>
      <c r="E57" s="6764"/>
      <c r="F57" s="6764">
        <v>1</v>
      </c>
      <c r="G57" s="6763">
        <v>1</v>
      </c>
      <c r="H57" s="2335"/>
      <c r="I57" s="2335"/>
      <c r="J57" s="2335"/>
      <c r="K57" s="2335"/>
      <c r="L57" s="2336"/>
      <c r="M57" s="2337"/>
      <c r="N57" s="2337"/>
      <c r="O57" s="2337"/>
      <c r="P57" s="2347"/>
      <c r="Q57" s="2339"/>
      <c r="R57" s="2340"/>
      <c r="S57" s="2341" t="str">
        <f>INDEX(PT_DIFFERENTIATION_NUM_CS,MATCH(C57,PT_DIFFERENTIATION_CS_ID,0))</f>
        <v>1.2.1</v>
      </c>
      <c r="T57" s="2348" t="s">
        <v>519</v>
      </c>
      <c r="U57" s="2343"/>
      <c r="V57" s="6749"/>
      <c r="W57" s="6750"/>
      <c r="X57" s="6750"/>
      <c r="Y57" s="6750"/>
      <c r="Z57" s="6750"/>
      <c r="AA57" s="6750"/>
      <c r="AB57" s="6750"/>
      <c r="AC57" s="6751"/>
      <c r="AD57" s="6749" t="str">
        <f>INDEX(PT_DIFFERENTIATION_CS,MATCH(C57,PT_DIFFERENTIATION_CS_ID,0))</f>
        <v>без дифференциации</v>
      </c>
      <c r="AE57" s="6750"/>
      <c r="AF57" s="6750"/>
      <c r="AG57" s="6750"/>
      <c r="AH57" s="6750"/>
      <c r="AI57" s="6750"/>
      <c r="AJ57" s="6750"/>
      <c r="AK57" s="6750"/>
      <c r="AL57" s="6749"/>
      <c r="AM57" s="6750"/>
      <c r="AN57" s="6750"/>
      <c r="AO57" s="6750"/>
      <c r="AP57" s="6750"/>
      <c r="AQ57" s="6750"/>
      <c r="AR57" s="6750"/>
      <c r="AS57" s="6751"/>
      <c r="AT57" s="6749"/>
      <c r="AU57" s="6750"/>
      <c r="AV57" s="6750"/>
      <c r="AW57" s="6750"/>
      <c r="AX57" s="6750"/>
      <c r="AY57" s="6750"/>
      <c r="AZ57" s="6750"/>
      <c r="BA57" s="6751"/>
      <c r="BB57" s="6749"/>
      <c r="BC57" s="6750"/>
      <c r="BD57" s="6750"/>
      <c r="BE57" s="6750"/>
      <c r="BF57" s="6750"/>
      <c r="BG57" s="6750"/>
      <c r="BH57" s="6750"/>
      <c r="BI57" s="6751"/>
      <c r="BJ57" s="6749"/>
      <c r="BK57" s="6750"/>
      <c r="BL57" s="6750"/>
      <c r="BM57" s="6750"/>
      <c r="BN57" s="6750"/>
      <c r="BO57" s="6750"/>
      <c r="BP57" s="6750"/>
      <c r="BQ57" s="6751"/>
      <c r="BR57" s="6749"/>
      <c r="BS57" s="6750"/>
      <c r="BT57" s="6750"/>
      <c r="BU57" s="6750"/>
      <c r="BV57" s="6750"/>
      <c r="BW57" s="6750"/>
      <c r="BX57" s="6750"/>
      <c r="BY57" s="6751"/>
      <c r="BZ57" s="6751"/>
      <c r="CA57" s="2344" t="s">
        <v>520</v>
      </c>
      <c r="CB57" s="2211"/>
      <c r="CC57" s="2345"/>
      <c r="CD57" s="2345" t="str">
        <f t="shared" si="1"/>
        <v xml:space="preserve">Наименование системы теплоснабжения </v>
      </c>
      <c r="CE57" s="2345"/>
      <c r="CF57" s="2345"/>
    </row>
    <row r="58" spans="1:84" s="2349" customFormat="1" ht="21" customHeight="1">
      <c r="A58" s="2335"/>
      <c r="B58" s="2335"/>
      <c r="C58" s="2335"/>
      <c r="D58" s="2335" t="s">
        <v>232</v>
      </c>
      <c r="E58" s="6764"/>
      <c r="F58" s="6764">
        <v>1</v>
      </c>
      <c r="G58" s="6764"/>
      <c r="H58" s="6763">
        <v>1</v>
      </c>
      <c r="I58" s="2335"/>
      <c r="J58" s="2335"/>
      <c r="K58" s="2335"/>
      <c r="L58" s="2336"/>
      <c r="M58" s="2337"/>
      <c r="N58" s="2337"/>
      <c r="O58" s="2337"/>
      <c r="P58" s="2347"/>
      <c r="Q58" s="2339"/>
      <c r="R58" s="2340"/>
      <c r="S58" s="2341" t="str">
        <f>INDEX(PT_DIFFERENTIATION_NUM_IST_TE,MATCH(D58,PT_DIFFERENTIATION_IST_TE_ID,0))</f>
        <v>1.2.1.1</v>
      </c>
      <c r="T58" s="2350" t="s">
        <v>521</v>
      </c>
      <c r="U58" s="2343"/>
      <c r="V58" s="6749"/>
      <c r="W58" s="6750"/>
      <c r="X58" s="6750"/>
      <c r="Y58" s="6750"/>
      <c r="Z58" s="6750"/>
      <c r="AA58" s="6750"/>
      <c r="AB58" s="6750"/>
      <c r="AC58" s="6751"/>
      <c r="AD58" s="6749" t="str">
        <f>INDEX(PT_DIFFERENTIATION_IST_TE,MATCH(D58,PT_DIFFERENTIATION_IST_TE_ID,0))</f>
        <v>без дифференциации</v>
      </c>
      <c r="AE58" s="6750"/>
      <c r="AF58" s="6750"/>
      <c r="AG58" s="6750"/>
      <c r="AH58" s="6750"/>
      <c r="AI58" s="6750"/>
      <c r="AJ58" s="6750"/>
      <c r="AK58" s="6750"/>
      <c r="AL58" s="6749"/>
      <c r="AM58" s="6750"/>
      <c r="AN58" s="6750"/>
      <c r="AO58" s="6750"/>
      <c r="AP58" s="6750"/>
      <c r="AQ58" s="6750"/>
      <c r="AR58" s="6750"/>
      <c r="AS58" s="6751"/>
      <c r="AT58" s="6749"/>
      <c r="AU58" s="6750"/>
      <c r="AV58" s="6750"/>
      <c r="AW58" s="6750"/>
      <c r="AX58" s="6750"/>
      <c r="AY58" s="6750"/>
      <c r="AZ58" s="6750"/>
      <c r="BA58" s="6751"/>
      <c r="BB58" s="6749"/>
      <c r="BC58" s="6750"/>
      <c r="BD58" s="6750"/>
      <c r="BE58" s="6750"/>
      <c r="BF58" s="6750"/>
      <c r="BG58" s="6750"/>
      <c r="BH58" s="6750"/>
      <c r="BI58" s="6751"/>
      <c r="BJ58" s="6749"/>
      <c r="BK58" s="6750"/>
      <c r="BL58" s="6750"/>
      <c r="BM58" s="6750"/>
      <c r="BN58" s="6750"/>
      <c r="BO58" s="6750"/>
      <c r="BP58" s="6750"/>
      <c r="BQ58" s="6751"/>
      <c r="BR58" s="6749"/>
      <c r="BS58" s="6750"/>
      <c r="BT58" s="6750"/>
      <c r="BU58" s="6750"/>
      <c r="BV58" s="6750"/>
      <c r="BW58" s="6750"/>
      <c r="BX58" s="6750"/>
      <c r="BY58" s="6751"/>
      <c r="BZ58" s="6751"/>
      <c r="CA58" s="2344" t="s">
        <v>522</v>
      </c>
      <c r="CB58" s="2211"/>
      <c r="CC58" s="2345"/>
      <c r="CD58" s="2345" t="str">
        <f t="shared" si="1"/>
        <v xml:space="preserve">Источник тепловой энергии  </v>
      </c>
      <c r="CE58" s="2345"/>
      <c r="CF58" s="2345"/>
    </row>
    <row r="59" spans="1:84" s="2351" customFormat="1" ht="47.25" customHeight="1">
      <c r="A59" s="2335"/>
      <c r="B59" s="2335"/>
      <c r="C59" s="2335"/>
      <c r="D59" s="2335"/>
      <c r="E59" s="6764"/>
      <c r="F59" s="6764">
        <v>1</v>
      </c>
      <c r="G59" s="6764"/>
      <c r="H59" s="6764"/>
      <c r="I59" s="6761" t="str">
        <f>S58&amp;".1"</f>
        <v>1.2.1.1.1</v>
      </c>
      <c r="J59" s="2335"/>
      <c r="K59" s="2335"/>
      <c r="L59" s="2336" t="s">
        <v>523</v>
      </c>
      <c r="M59" s="2205"/>
      <c r="N59" s="2352"/>
      <c r="O59" s="2352"/>
      <c r="P59" s="6762">
        <v>1</v>
      </c>
      <c r="Q59" s="2353"/>
      <c r="R59" s="2354"/>
      <c r="S59" s="2341" t="str">
        <f>$I59</f>
        <v>1.2.1.1.1</v>
      </c>
      <c r="T59" s="2355" t="s">
        <v>524</v>
      </c>
      <c r="U59" s="2343"/>
      <c r="V59" s="6752"/>
      <c r="W59" s="6753"/>
      <c r="X59" s="6753"/>
      <c r="Y59" s="6753"/>
      <c r="Z59" s="6753"/>
      <c r="AA59" s="6753"/>
      <c r="AB59" s="6753"/>
      <c r="AC59" s="6754"/>
      <c r="AD59" s="6752" t="s">
        <v>566</v>
      </c>
      <c r="AE59" s="6753"/>
      <c r="AF59" s="6753"/>
      <c r="AG59" s="6753"/>
      <c r="AH59" s="6753"/>
      <c r="AI59" s="6753"/>
      <c r="AJ59" s="6753"/>
      <c r="AK59" s="6753"/>
      <c r="AL59" s="6752"/>
      <c r="AM59" s="6753"/>
      <c r="AN59" s="6753"/>
      <c r="AO59" s="6753"/>
      <c r="AP59" s="6753"/>
      <c r="AQ59" s="6753"/>
      <c r="AR59" s="6753"/>
      <c r="AS59" s="6754"/>
      <c r="AT59" s="6752"/>
      <c r="AU59" s="6753"/>
      <c r="AV59" s="6753"/>
      <c r="AW59" s="6753"/>
      <c r="AX59" s="6753"/>
      <c r="AY59" s="6753"/>
      <c r="AZ59" s="6753"/>
      <c r="BA59" s="6754"/>
      <c r="BB59" s="6752"/>
      <c r="BC59" s="6753"/>
      <c r="BD59" s="6753"/>
      <c r="BE59" s="6753"/>
      <c r="BF59" s="6753"/>
      <c r="BG59" s="6753"/>
      <c r="BH59" s="6753"/>
      <c r="BI59" s="6754"/>
      <c r="BJ59" s="6752"/>
      <c r="BK59" s="6753"/>
      <c r="BL59" s="6753"/>
      <c r="BM59" s="6753"/>
      <c r="BN59" s="6753"/>
      <c r="BO59" s="6753"/>
      <c r="BP59" s="6753"/>
      <c r="BQ59" s="6754"/>
      <c r="BR59" s="6752"/>
      <c r="BS59" s="6753"/>
      <c r="BT59" s="6753"/>
      <c r="BU59" s="6753"/>
      <c r="BV59" s="6753"/>
      <c r="BW59" s="6753"/>
      <c r="BX59" s="6753"/>
      <c r="BY59" s="6754"/>
      <c r="BZ59" s="6754"/>
      <c r="CA59" s="2344" t="s">
        <v>525</v>
      </c>
      <c r="CB59" s="2211"/>
      <c r="CC59" s="2345"/>
      <c r="CD59" s="2345" t="str">
        <f t="shared" si="1"/>
        <v>Схема подключения теплопотребляющей установки к коллектору источника тепловой энергии</v>
      </c>
      <c r="CE59" s="2345"/>
      <c r="CF59" s="2345"/>
    </row>
    <row r="60" spans="1:84" s="2356" customFormat="1" ht="21" customHeight="1">
      <c r="A60" s="2335"/>
      <c r="B60" s="2335"/>
      <c r="C60" s="2335"/>
      <c r="D60" s="2335"/>
      <c r="E60" s="6764"/>
      <c r="F60" s="6764">
        <v>1</v>
      </c>
      <c r="G60" s="6764"/>
      <c r="H60" s="6764"/>
      <c r="I60" s="6784"/>
      <c r="J60" s="6761" t="str">
        <f>I59&amp;".1"</f>
        <v>1.2.1.1.1.1</v>
      </c>
      <c r="K60" s="2335"/>
      <c r="L60" s="2336" t="s">
        <v>526</v>
      </c>
      <c r="M60" s="2205"/>
      <c r="N60" s="2205"/>
      <c r="O60" s="2352"/>
      <c r="P60" s="6762"/>
      <c r="Q60" s="6762">
        <v>1</v>
      </c>
      <c r="R60" s="2357"/>
      <c r="S60" s="2341" t="str">
        <f>$J60</f>
        <v>1.2.1.1.1.1</v>
      </c>
      <c r="T60" s="2358" t="s">
        <v>527</v>
      </c>
      <c r="U60" s="2343"/>
      <c r="V60" s="6752"/>
      <c r="W60" s="6753"/>
      <c r="X60" s="6753"/>
      <c r="Y60" s="6753"/>
      <c r="Z60" s="6753"/>
      <c r="AA60" s="6753"/>
      <c r="AB60" s="6753"/>
      <c r="AC60" s="6754"/>
      <c r="AD60" s="6752" t="s">
        <v>566</v>
      </c>
      <c r="AE60" s="6753"/>
      <c r="AF60" s="6753"/>
      <c r="AG60" s="6753"/>
      <c r="AH60" s="6753"/>
      <c r="AI60" s="6753"/>
      <c r="AJ60" s="6753"/>
      <c r="AK60" s="6753"/>
      <c r="AL60" s="6752"/>
      <c r="AM60" s="6753"/>
      <c r="AN60" s="6753"/>
      <c r="AO60" s="6753"/>
      <c r="AP60" s="6753"/>
      <c r="AQ60" s="6753"/>
      <c r="AR60" s="6753"/>
      <c r="AS60" s="6754"/>
      <c r="AT60" s="6752"/>
      <c r="AU60" s="6753"/>
      <c r="AV60" s="6753"/>
      <c r="AW60" s="6753"/>
      <c r="AX60" s="6753"/>
      <c r="AY60" s="6753"/>
      <c r="AZ60" s="6753"/>
      <c r="BA60" s="6754"/>
      <c r="BB60" s="6752"/>
      <c r="BC60" s="6753"/>
      <c r="BD60" s="6753"/>
      <c r="BE60" s="6753"/>
      <c r="BF60" s="6753"/>
      <c r="BG60" s="6753"/>
      <c r="BH60" s="6753"/>
      <c r="BI60" s="6754"/>
      <c r="BJ60" s="6752"/>
      <c r="BK60" s="6753"/>
      <c r="BL60" s="6753"/>
      <c r="BM60" s="6753"/>
      <c r="BN60" s="6753"/>
      <c r="BO60" s="6753"/>
      <c r="BP60" s="6753"/>
      <c r="BQ60" s="6754"/>
      <c r="BR60" s="6752"/>
      <c r="BS60" s="6753"/>
      <c r="BT60" s="6753"/>
      <c r="BU60" s="6753"/>
      <c r="BV60" s="6753"/>
      <c r="BW60" s="6753"/>
      <c r="BX60" s="6753"/>
      <c r="BY60" s="6754"/>
      <c r="BZ60" s="6754"/>
      <c r="CA60" s="2344" t="s">
        <v>528</v>
      </c>
      <c r="CB60" s="2211"/>
      <c r="CC60" s="2345"/>
      <c r="CD60" s="2345" t="str">
        <f t="shared" si="1"/>
        <v>Группа потребителей</v>
      </c>
      <c r="CE60" s="2345"/>
      <c r="CF60" s="2345"/>
    </row>
    <row r="61" spans="1:84" s="2359" customFormat="1" ht="21" customHeight="1">
      <c r="A61" s="2335"/>
      <c r="B61" s="2335"/>
      <c r="C61" s="2335"/>
      <c r="D61" s="2335"/>
      <c r="E61" s="6764"/>
      <c r="F61" s="6764">
        <v>1</v>
      </c>
      <c r="G61" s="6764"/>
      <c r="H61" s="6764"/>
      <c r="I61" s="6784"/>
      <c r="J61" s="6784"/>
      <c r="K61" s="6761" t="str">
        <f>J60&amp;".1"</f>
        <v>1.2.1.1.1.1.1</v>
      </c>
      <c r="L61" s="2336" t="s">
        <v>529</v>
      </c>
      <c r="M61" s="2205"/>
      <c r="N61" s="2205"/>
      <c r="O61" s="2205"/>
      <c r="P61" s="6762"/>
      <c r="Q61" s="6762"/>
      <c r="R61" s="2357">
        <v>1</v>
      </c>
      <c r="S61" s="2341" t="str">
        <f>$K61</f>
        <v>1.2.1.1.1.1.1</v>
      </c>
      <c r="T61" s="2360" t="s">
        <v>567</v>
      </c>
      <c r="U61" s="2343"/>
      <c r="V61" s="2078"/>
      <c r="W61" s="2079"/>
      <c r="X61" s="2078"/>
      <c r="Y61" s="2080"/>
      <c r="Z61" s="6766"/>
      <c r="AA61" s="6610" t="s">
        <v>61</v>
      </c>
      <c r="AB61" s="6766"/>
      <c r="AC61" s="6610" t="s">
        <v>61</v>
      </c>
      <c r="AD61" s="2078">
        <v>1964.21</v>
      </c>
      <c r="AE61" s="2079"/>
      <c r="AF61" s="2078"/>
      <c r="AG61" s="2080"/>
      <c r="AH61" s="6766">
        <v>45292.474999999999</v>
      </c>
      <c r="AI61" s="6610" t="s">
        <v>61</v>
      </c>
      <c r="AJ61" s="6766">
        <v>45473.475138888891</v>
      </c>
      <c r="AK61" s="6610" t="s">
        <v>61</v>
      </c>
      <c r="AL61" s="2078">
        <v>1971.13</v>
      </c>
      <c r="AM61" s="2079"/>
      <c r="AN61" s="2078"/>
      <c r="AO61" s="2080"/>
      <c r="AP61" s="6766">
        <v>45474.475312499999</v>
      </c>
      <c r="AQ61" s="6610" t="s">
        <v>61</v>
      </c>
      <c r="AR61" s="6766">
        <v>45838.47556712963</v>
      </c>
      <c r="AS61" s="6610" t="s">
        <v>61</v>
      </c>
      <c r="AT61" s="2078">
        <v>2207.38</v>
      </c>
      <c r="AU61" s="2079"/>
      <c r="AV61" s="2078"/>
      <c r="AW61" s="2080"/>
      <c r="AX61" s="6766">
        <v>45839.475949074076</v>
      </c>
      <c r="AY61" s="6610" t="s">
        <v>61</v>
      </c>
      <c r="AZ61" s="6766">
        <v>46203.476076388892</v>
      </c>
      <c r="BA61" s="6610" t="s">
        <v>61</v>
      </c>
      <c r="BB61" s="2078">
        <v>2285.59</v>
      </c>
      <c r="BC61" s="2079"/>
      <c r="BD61" s="2078"/>
      <c r="BE61" s="2080"/>
      <c r="BF61" s="6766">
        <v>46204.476284722223</v>
      </c>
      <c r="BG61" s="6610" t="s">
        <v>61</v>
      </c>
      <c r="BH61" s="6766">
        <v>46568.476493055554</v>
      </c>
      <c r="BI61" s="6610" t="s">
        <v>61</v>
      </c>
      <c r="BJ61" s="2078">
        <v>2364.3000000000002</v>
      </c>
      <c r="BK61" s="2079"/>
      <c r="BL61" s="2078"/>
      <c r="BM61" s="2080"/>
      <c r="BN61" s="6766">
        <v>46569.476805555554</v>
      </c>
      <c r="BO61" s="6610" t="s">
        <v>61</v>
      </c>
      <c r="BP61" s="6766">
        <v>46934.477025462962</v>
      </c>
      <c r="BQ61" s="6610" t="s">
        <v>61</v>
      </c>
      <c r="BR61" s="2078">
        <v>2445.85</v>
      </c>
      <c r="BS61" s="2079"/>
      <c r="BT61" s="2078"/>
      <c r="BU61" s="2080"/>
      <c r="BV61" s="6766">
        <v>46935.477349537039</v>
      </c>
      <c r="BW61" s="6610" t="s">
        <v>61</v>
      </c>
      <c r="BX61" s="6766">
        <v>47118.47755787037</v>
      </c>
      <c r="BY61" s="6610" t="s">
        <v>61</v>
      </c>
      <c r="BZ61" s="2079"/>
      <c r="CA61" s="6758" t="s">
        <v>530</v>
      </c>
      <c r="CB61" s="2211" t="e">
        <f ca="1">STRCHECKDATE(V62:BZ62)</f>
        <v>#NAME?</v>
      </c>
      <c r="CC61" s="2345"/>
      <c r="CD61" s="2345" t="str">
        <f t="shared" si="1"/>
        <v>вода</v>
      </c>
      <c r="CE61" s="2345"/>
      <c r="CF61" s="2345"/>
    </row>
    <row r="62" spans="1:84" s="2361" customFormat="1" ht="0.75" customHeight="1">
      <c r="A62" s="2335"/>
      <c r="B62" s="2335"/>
      <c r="C62" s="2335"/>
      <c r="D62" s="2335"/>
      <c r="E62" s="6764"/>
      <c r="F62" s="6764">
        <v>1</v>
      </c>
      <c r="G62" s="6764"/>
      <c r="H62" s="6764"/>
      <c r="I62" s="6784"/>
      <c r="J62" s="6784"/>
      <c r="K62" s="6761"/>
      <c r="L62" s="2336"/>
      <c r="M62" s="2205"/>
      <c r="N62" s="2205"/>
      <c r="O62" s="2205"/>
      <c r="P62" s="6762"/>
      <c r="Q62" s="6762"/>
      <c r="R62" s="2357"/>
      <c r="S62" s="2362"/>
      <c r="T62" s="2343"/>
      <c r="U62" s="2343"/>
      <c r="V62" s="2079"/>
      <c r="W62" s="2079"/>
      <c r="X62" s="2079"/>
      <c r="Y62" s="2082" t="str">
        <f>Z61&amp;"-"&amp;AB61</f>
        <v>-</v>
      </c>
      <c r="Z62" s="6767"/>
      <c r="AA62" s="6610"/>
      <c r="AB62" s="6767"/>
      <c r="AC62" s="6610"/>
      <c r="AD62" s="2079"/>
      <c r="AE62" s="2079"/>
      <c r="AF62" s="2079"/>
      <c r="AG62" s="2082" t="str">
        <f>AH61&amp;"-"&amp;AJ61</f>
        <v>45292,475-45473,4751388889</v>
      </c>
      <c r="AH62" s="6767"/>
      <c r="AI62" s="6610"/>
      <c r="AJ62" s="6767"/>
      <c r="AK62" s="6610"/>
      <c r="AL62" s="2079"/>
      <c r="AM62" s="2079"/>
      <c r="AN62" s="2079"/>
      <c r="AO62" s="2082" t="str">
        <f>AP61&amp;"-"&amp;AR61</f>
        <v>45474,4753125-45838,4755671296</v>
      </c>
      <c r="AP62" s="6767"/>
      <c r="AQ62" s="6610"/>
      <c r="AR62" s="6767"/>
      <c r="AS62" s="6610"/>
      <c r="AT62" s="2079"/>
      <c r="AU62" s="2079"/>
      <c r="AV62" s="2079"/>
      <c r="AW62" s="2082" t="str">
        <f>AX61&amp;"-"&amp;AZ61</f>
        <v>45839,4759490741-46203,4760763889</v>
      </c>
      <c r="AX62" s="6767"/>
      <c r="AY62" s="6610"/>
      <c r="AZ62" s="6767"/>
      <c r="BA62" s="6610"/>
      <c r="BB62" s="2079"/>
      <c r="BC62" s="2079"/>
      <c r="BD62" s="2079"/>
      <c r="BE62" s="2082" t="str">
        <f>BF61&amp;"-"&amp;BH61</f>
        <v>46204,4762847222-46568,4764930556</v>
      </c>
      <c r="BF62" s="6767"/>
      <c r="BG62" s="6610"/>
      <c r="BH62" s="6767"/>
      <c r="BI62" s="6610"/>
      <c r="BJ62" s="2079"/>
      <c r="BK62" s="2079"/>
      <c r="BL62" s="2079"/>
      <c r="BM62" s="2082" t="str">
        <f>BN61&amp;"-"&amp;BP61</f>
        <v>46569,4768055556-46934,477025463</v>
      </c>
      <c r="BN62" s="6767"/>
      <c r="BO62" s="6610"/>
      <c r="BP62" s="6767"/>
      <c r="BQ62" s="6610"/>
      <c r="BR62" s="2079"/>
      <c r="BS62" s="2079"/>
      <c r="BT62" s="2079"/>
      <c r="BU62" s="2082" t="str">
        <f>BV61&amp;"-"&amp;BX61</f>
        <v>46935,477349537-47118,4775578704</v>
      </c>
      <c r="BV62" s="6767"/>
      <c r="BW62" s="6610"/>
      <c r="BX62" s="6767"/>
      <c r="BY62" s="6610"/>
      <c r="BZ62" s="2079"/>
      <c r="CA62" s="6759"/>
      <c r="CB62" s="2211"/>
      <c r="CC62" s="2345"/>
      <c r="CD62" s="2345" t="str">
        <f t="shared" si="1"/>
        <v/>
      </c>
      <c r="CE62" s="2345"/>
      <c r="CF62" s="2345"/>
    </row>
    <row r="63" spans="1:84" s="2363" customFormat="1" ht="15" customHeight="1">
      <c r="A63" s="2335"/>
      <c r="B63" s="2335"/>
      <c r="C63" s="2335"/>
      <c r="D63" s="2335"/>
      <c r="E63" s="6764"/>
      <c r="F63" s="6764">
        <v>1</v>
      </c>
      <c r="G63" s="6764"/>
      <c r="H63" s="6764"/>
      <c r="I63" s="6784"/>
      <c r="J63" s="6761"/>
      <c r="K63" s="2335"/>
      <c r="L63" s="2336"/>
      <c r="M63" s="2205"/>
      <c r="N63" s="2205"/>
      <c r="O63" s="2352"/>
      <c r="P63" s="6762"/>
      <c r="Q63" s="6762"/>
      <c r="R63" s="2354"/>
      <c r="S63" s="2364"/>
      <c r="T63" s="2365" t="s">
        <v>531</v>
      </c>
      <c r="U63" s="2366"/>
      <c r="V63" s="2367"/>
      <c r="W63" s="2368"/>
      <c r="X63" s="2369"/>
      <c r="Y63" s="2370"/>
      <c r="Z63" s="2371"/>
      <c r="AA63" s="2372"/>
      <c r="AB63" s="2373"/>
      <c r="AC63" s="2374"/>
      <c r="AD63" s="2375"/>
      <c r="AE63" s="2376"/>
      <c r="AF63" s="2377"/>
      <c r="AG63" s="2378"/>
      <c r="AH63" s="2379"/>
      <c r="AI63" s="2380"/>
      <c r="AJ63" s="2381"/>
      <c r="AK63" s="2382"/>
      <c r="AL63" s="2383"/>
      <c r="AM63" s="2384"/>
      <c r="AN63" s="2385"/>
      <c r="AO63" s="2386"/>
      <c r="AP63" s="2387"/>
      <c r="AQ63" s="2388"/>
      <c r="AR63" s="2389"/>
      <c r="AS63" s="2390"/>
      <c r="AT63" s="2391"/>
      <c r="AU63" s="2392"/>
      <c r="AV63" s="2393"/>
      <c r="AW63" s="2394"/>
      <c r="AX63" s="2395"/>
      <c r="AY63" s="2396"/>
      <c r="AZ63" s="2397"/>
      <c r="BA63" s="2398"/>
      <c r="BB63" s="2399"/>
      <c r="BC63" s="2400"/>
      <c r="BD63" s="2401"/>
      <c r="BE63" s="2402"/>
      <c r="BF63" s="2403"/>
      <c r="BG63" s="2404"/>
      <c r="BH63" s="2405"/>
      <c r="BI63" s="2406"/>
      <c r="BJ63" s="2407"/>
      <c r="BK63" s="2408"/>
      <c r="BL63" s="2409"/>
      <c r="BM63" s="2410"/>
      <c r="BN63" s="2411"/>
      <c r="BO63" s="2412"/>
      <c r="BP63" s="2413"/>
      <c r="BQ63" s="2414"/>
      <c r="BR63" s="2415"/>
      <c r="BS63" s="2416"/>
      <c r="BT63" s="2417"/>
      <c r="BU63" s="2418"/>
      <c r="BV63" s="2419"/>
      <c r="BW63" s="2420"/>
      <c r="BX63" s="2421"/>
      <c r="BY63" s="2422"/>
      <c r="BZ63" s="2423"/>
      <c r="CA63" s="6760"/>
      <c r="CB63" s="2211"/>
      <c r="CC63" s="2345"/>
      <c r="CD63" s="2345" t="str">
        <f t="shared" si="1"/>
        <v>Добавить вид теплоносителя (параметры теплоносителя)</v>
      </c>
      <c r="CE63" s="2345"/>
      <c r="CF63" s="2345"/>
    </row>
    <row r="64" spans="1:84" s="2424" customFormat="1" ht="15" customHeight="1">
      <c r="A64" s="2335"/>
      <c r="B64" s="2335"/>
      <c r="C64" s="2335"/>
      <c r="D64" s="2335"/>
      <c r="E64" s="6764"/>
      <c r="F64" s="6764">
        <v>1</v>
      </c>
      <c r="G64" s="6764"/>
      <c r="H64" s="6764"/>
      <c r="I64" s="6761"/>
      <c r="J64" s="2335"/>
      <c r="K64" s="2335"/>
      <c r="L64" s="2336"/>
      <c r="M64" s="2205"/>
      <c r="N64" s="2352"/>
      <c r="O64" s="2352"/>
      <c r="P64" s="6762"/>
      <c r="Q64" s="2353"/>
      <c r="R64" s="2354"/>
      <c r="S64" s="2425"/>
      <c r="T64" s="2426" t="s">
        <v>532</v>
      </c>
      <c r="U64" s="2427"/>
      <c r="V64" s="2428"/>
      <c r="W64" s="2429"/>
      <c r="X64" s="2430"/>
      <c r="Y64" s="2431"/>
      <c r="Z64" s="2432"/>
      <c r="AA64" s="2433"/>
      <c r="AB64" s="2434"/>
      <c r="AC64" s="2435"/>
      <c r="AD64" s="2436"/>
      <c r="AE64" s="2437"/>
      <c r="AF64" s="2438"/>
      <c r="AG64" s="2439"/>
      <c r="AH64" s="2440"/>
      <c r="AI64" s="2441"/>
      <c r="AJ64" s="2442"/>
      <c r="AK64" s="2443"/>
      <c r="AL64" s="2444"/>
      <c r="AM64" s="2445"/>
      <c r="AN64" s="2446"/>
      <c r="AO64" s="2447"/>
      <c r="AP64" s="2448"/>
      <c r="AQ64" s="2449"/>
      <c r="AR64" s="2450"/>
      <c r="AS64" s="2451"/>
      <c r="AT64" s="2452"/>
      <c r="AU64" s="2453"/>
      <c r="AV64" s="2454"/>
      <c r="AW64" s="2455"/>
      <c r="AX64" s="2456"/>
      <c r="AY64" s="2457"/>
      <c r="AZ64" s="2458"/>
      <c r="BA64" s="2459"/>
      <c r="BB64" s="2460"/>
      <c r="BC64" s="2461"/>
      <c r="BD64" s="2462"/>
      <c r="BE64" s="2463"/>
      <c r="BF64" s="2464"/>
      <c r="BG64" s="2465"/>
      <c r="BH64" s="2466"/>
      <c r="BI64" s="2467"/>
      <c r="BJ64" s="2468"/>
      <c r="BK64" s="2469"/>
      <c r="BL64" s="2470"/>
      <c r="BM64" s="2471"/>
      <c r="BN64" s="2472"/>
      <c r="BO64" s="2473"/>
      <c r="BP64" s="2474"/>
      <c r="BQ64" s="2475"/>
      <c r="BR64" s="2476"/>
      <c r="BS64" s="2477"/>
      <c r="BT64" s="2478"/>
      <c r="BU64" s="2479"/>
      <c r="BV64" s="2480"/>
      <c r="BW64" s="2481"/>
      <c r="BX64" s="2482"/>
      <c r="BY64" s="2483"/>
      <c r="BZ64" s="2484"/>
      <c r="CA64" s="2485"/>
      <c r="CB64" s="2211"/>
      <c r="CC64" s="2345"/>
      <c r="CD64" s="2345" t="str">
        <f t="shared" si="1"/>
        <v>Добавить группу потребителей</v>
      </c>
      <c r="CE64" s="2345"/>
      <c r="CF64" s="2345"/>
    </row>
    <row r="65" spans="1:84" s="2486" customFormat="1" ht="14.25" customHeight="1">
      <c r="A65" s="2335"/>
      <c r="B65" s="2335"/>
      <c r="C65" s="2335"/>
      <c r="D65" s="2335"/>
      <c r="E65" s="6764"/>
      <c r="F65" s="6764">
        <v>1</v>
      </c>
      <c r="G65" s="6764"/>
      <c r="H65" s="6763"/>
      <c r="I65" s="2335"/>
      <c r="J65" s="2335"/>
      <c r="K65" s="2335"/>
      <c r="L65" s="2336"/>
      <c r="M65" s="2337"/>
      <c r="N65" s="2337"/>
      <c r="O65" s="2205"/>
      <c r="P65" s="2487"/>
      <c r="Q65" s="2488"/>
      <c r="R65" s="2489"/>
      <c r="S65" s="2490"/>
      <c r="T65" s="2491" t="s">
        <v>533</v>
      </c>
      <c r="U65" s="2492"/>
      <c r="V65" s="2493"/>
      <c r="W65" s="2494"/>
      <c r="X65" s="2495"/>
      <c r="Y65" s="2496"/>
      <c r="Z65" s="2497"/>
      <c r="AA65" s="2498"/>
      <c r="AB65" s="2499"/>
      <c r="AC65" s="2500"/>
      <c r="AD65" s="2501"/>
      <c r="AE65" s="2502"/>
      <c r="AF65" s="2503"/>
      <c r="AG65" s="2504"/>
      <c r="AH65" s="2505"/>
      <c r="AI65" s="2506"/>
      <c r="AJ65" s="2507"/>
      <c r="AK65" s="2508"/>
      <c r="AL65" s="2509"/>
      <c r="AM65" s="2510"/>
      <c r="AN65" s="2511"/>
      <c r="AO65" s="2512"/>
      <c r="AP65" s="2513"/>
      <c r="AQ65" s="2514"/>
      <c r="AR65" s="2515"/>
      <c r="AS65" s="2516"/>
      <c r="AT65" s="2517"/>
      <c r="AU65" s="2518"/>
      <c r="AV65" s="2519"/>
      <c r="AW65" s="2520"/>
      <c r="AX65" s="2521"/>
      <c r="AY65" s="2522"/>
      <c r="AZ65" s="2523"/>
      <c r="BA65" s="2524"/>
      <c r="BB65" s="2525"/>
      <c r="BC65" s="2526"/>
      <c r="BD65" s="2527"/>
      <c r="BE65" s="2528"/>
      <c r="BF65" s="2529"/>
      <c r="BG65" s="2530"/>
      <c r="BH65" s="2531"/>
      <c r="BI65" s="2532"/>
      <c r="BJ65" s="2533"/>
      <c r="BK65" s="2534"/>
      <c r="BL65" s="2535"/>
      <c r="BM65" s="2536"/>
      <c r="BN65" s="2537"/>
      <c r="BO65" s="2538"/>
      <c r="BP65" s="2539"/>
      <c r="BQ65" s="2540"/>
      <c r="BR65" s="2541"/>
      <c r="BS65" s="2542"/>
      <c r="BT65" s="2543"/>
      <c r="BU65" s="2544"/>
      <c r="BV65" s="2545"/>
      <c r="BW65" s="2546"/>
      <c r="BX65" s="2547"/>
      <c r="BY65" s="2548"/>
      <c r="BZ65" s="2549"/>
      <c r="CA65" s="2550"/>
      <c r="CB65" s="2211"/>
      <c r="CC65" s="2345"/>
      <c r="CD65" s="2345" t="str">
        <f t="shared" si="1"/>
        <v>Добавить схему подключения</v>
      </c>
      <c r="CE65" s="2345"/>
      <c r="CF65" s="2345"/>
    </row>
    <row r="66" spans="1:84" s="2551" customFormat="1" ht="0.75" customHeight="1">
      <c r="A66" s="2552"/>
      <c r="B66" s="2552"/>
      <c r="C66" s="2552"/>
      <c r="D66" s="2552"/>
      <c r="E66" s="6764"/>
      <c r="F66" s="6764">
        <v>1</v>
      </c>
      <c r="G66" s="6763"/>
      <c r="H66" s="2552"/>
      <c r="I66" s="2552"/>
      <c r="J66" s="2552"/>
      <c r="K66" s="2552"/>
      <c r="L66" s="2553"/>
      <c r="M66" s="2554"/>
      <c r="N66" s="2554"/>
      <c r="O66" s="2211"/>
      <c r="P66" s="2555"/>
      <c r="Q66" s="2556"/>
      <c r="R66" s="2555"/>
      <c r="S66" s="2557"/>
      <c r="T66" s="2558" t="s">
        <v>228</v>
      </c>
      <c r="U66" s="2203"/>
      <c r="V66" s="2203"/>
      <c r="W66" s="2203"/>
      <c r="X66" s="2203"/>
      <c r="Y66" s="2203"/>
      <c r="Z66" s="2203"/>
      <c r="AA66" s="2203"/>
      <c r="AB66" s="2203"/>
      <c r="AC66" s="2203"/>
      <c r="AD66" s="2203"/>
      <c r="AE66" s="2203"/>
      <c r="AF66" s="2203"/>
      <c r="AG66" s="2203"/>
      <c r="AH66" s="2203"/>
      <c r="AI66" s="2203"/>
      <c r="AJ66" s="2203"/>
      <c r="AK66" s="2203"/>
      <c r="AL66" s="2203"/>
      <c r="AM66" s="2203"/>
      <c r="AN66" s="2203"/>
      <c r="AO66" s="2203"/>
      <c r="AP66" s="2203"/>
      <c r="AQ66" s="2203"/>
      <c r="AR66" s="2203"/>
      <c r="AS66" s="2203"/>
      <c r="AT66" s="2203"/>
      <c r="AU66" s="2203"/>
      <c r="AV66" s="2203"/>
      <c r="AW66" s="2203"/>
      <c r="AX66" s="2203"/>
      <c r="AY66" s="2203"/>
      <c r="AZ66" s="2203"/>
      <c r="BA66" s="2203"/>
      <c r="BB66" s="2203"/>
      <c r="BC66" s="2203"/>
      <c r="BD66" s="2203"/>
      <c r="BE66" s="2203"/>
      <c r="BF66" s="2203"/>
      <c r="BG66" s="2203"/>
      <c r="BH66" s="2203"/>
      <c r="BI66" s="2203"/>
      <c r="BJ66" s="2203"/>
      <c r="BK66" s="2203"/>
      <c r="BL66" s="2203"/>
      <c r="BM66" s="2203"/>
      <c r="BN66" s="2203"/>
      <c r="BO66" s="2203"/>
      <c r="BP66" s="2203"/>
      <c r="BQ66" s="2203"/>
      <c r="BR66" s="2203"/>
      <c r="BS66" s="2203"/>
      <c r="BT66" s="2203"/>
      <c r="BU66" s="2203"/>
      <c r="BV66" s="2203"/>
      <c r="BW66" s="2203"/>
      <c r="BX66" s="2203"/>
      <c r="BY66" s="2203"/>
      <c r="BZ66" s="2203"/>
      <c r="CA66" s="2203"/>
      <c r="CB66" s="2211"/>
      <c r="CC66" s="2345"/>
      <c r="CD66" s="2345" t="str">
        <f t="shared" si="1"/>
        <v>Добавить источник для дифференциации</v>
      </c>
      <c r="CE66" s="2345"/>
      <c r="CF66" s="2345"/>
    </row>
    <row r="67" spans="1:84" s="2559" customFormat="1" ht="0.75" customHeight="1">
      <c r="A67" s="2552"/>
      <c r="B67" s="2552"/>
      <c r="C67" s="2552"/>
      <c r="D67" s="2552"/>
      <c r="E67" s="6764"/>
      <c r="F67" s="6763">
        <v>1</v>
      </c>
      <c r="G67" s="2552"/>
      <c r="H67" s="2552"/>
      <c r="I67" s="2552"/>
      <c r="J67" s="2552"/>
      <c r="K67" s="2552"/>
      <c r="L67" s="2553"/>
      <c r="M67" s="2560"/>
      <c r="N67" s="2560"/>
      <c r="O67" s="2211"/>
      <c r="P67" s="2555"/>
      <c r="Q67" s="2556"/>
      <c r="R67" s="2555"/>
      <c r="S67" s="2561"/>
      <c r="T67" s="2562" t="s">
        <v>229</v>
      </c>
      <c r="U67" s="2204"/>
      <c r="V67" s="2204"/>
      <c r="W67" s="2204"/>
      <c r="X67" s="2204"/>
      <c r="Y67" s="2204"/>
      <c r="Z67" s="2204"/>
      <c r="AA67" s="2204"/>
      <c r="AB67" s="2204"/>
      <c r="AC67" s="2204"/>
      <c r="AD67" s="2204"/>
      <c r="AE67" s="2204"/>
      <c r="AF67" s="2204"/>
      <c r="AG67" s="2204"/>
      <c r="AH67" s="2204"/>
      <c r="AI67" s="2204"/>
      <c r="AJ67" s="2204"/>
      <c r="AK67" s="2204"/>
      <c r="AL67" s="2204"/>
      <c r="AM67" s="2204"/>
      <c r="AN67" s="2204"/>
      <c r="AO67" s="2204"/>
      <c r="AP67" s="2204"/>
      <c r="AQ67" s="2204"/>
      <c r="AR67" s="2204"/>
      <c r="AS67" s="2204"/>
      <c r="AT67" s="2204"/>
      <c r="AU67" s="2204"/>
      <c r="AV67" s="2204"/>
      <c r="AW67" s="2204"/>
      <c r="AX67" s="2204"/>
      <c r="AY67" s="2204"/>
      <c r="AZ67" s="2204"/>
      <c r="BA67" s="2204"/>
      <c r="BB67" s="2204"/>
      <c r="BC67" s="2204"/>
      <c r="BD67" s="2204"/>
      <c r="BE67" s="2204"/>
      <c r="BF67" s="2204"/>
      <c r="BG67" s="2204"/>
      <c r="BH67" s="2204"/>
      <c r="BI67" s="2204"/>
      <c r="BJ67" s="2204"/>
      <c r="BK67" s="2204"/>
      <c r="BL67" s="2204"/>
      <c r="BM67" s="2204"/>
      <c r="BN67" s="2204"/>
      <c r="BO67" s="2204"/>
      <c r="BP67" s="2204"/>
      <c r="BQ67" s="2204"/>
      <c r="BR67" s="2204"/>
      <c r="BS67" s="2204"/>
      <c r="BT67" s="2204"/>
      <c r="BU67" s="2204"/>
      <c r="BV67" s="2204"/>
      <c r="BW67" s="2204"/>
      <c r="BX67" s="2204"/>
      <c r="BY67" s="2204"/>
      <c r="BZ67" s="2204"/>
      <c r="CA67" s="2204"/>
      <c r="CB67" s="2211"/>
      <c r="CC67" s="2345"/>
      <c r="CD67" s="2345" t="str">
        <f t="shared" si="1"/>
        <v>Добавить централизованную систему для дифференциации</v>
      </c>
      <c r="CE67" s="2345"/>
      <c r="CF67" s="2345"/>
    </row>
    <row r="68" spans="1:84" s="2563" customFormat="1" ht="21" customHeight="1">
      <c r="A68" s="2335"/>
      <c r="B68" s="2335" t="s">
        <v>233</v>
      </c>
      <c r="C68" s="2335"/>
      <c r="D68" s="2335"/>
      <c r="E68" s="6764"/>
      <c r="F68" s="6763" t="s">
        <v>89</v>
      </c>
      <c r="G68" s="2335"/>
      <c r="H68" s="2335"/>
      <c r="I68" s="2335"/>
      <c r="J68" s="2335"/>
      <c r="K68" s="2335"/>
      <c r="L68" s="2336"/>
      <c r="M68" s="2337"/>
      <c r="N68" s="2337"/>
      <c r="O68" s="2337"/>
      <c r="P68" s="2338"/>
      <c r="Q68" s="2339"/>
      <c r="R68" s="2340"/>
      <c r="S68" s="2341" t="str">
        <f>INDEX(PT_DIFFERENTIATION_NUM_TER,MATCH(B68,PT_DIFFERENTIATION_TER_ID,0))</f>
        <v>1.3</v>
      </c>
      <c r="T68" s="2342" t="s">
        <v>517</v>
      </c>
      <c r="U68" s="2343"/>
      <c r="V68" s="6749"/>
      <c r="W68" s="6750"/>
      <c r="X68" s="6750"/>
      <c r="Y68" s="6750"/>
      <c r="Z68" s="6750"/>
      <c r="AA68" s="6750"/>
      <c r="AB68" s="6750"/>
      <c r="AC68" s="6751"/>
      <c r="AD68" s="6749" t="str">
        <f>INDEX(PT_DIFFERENTIATION_TER,MATCH(B68,PT_DIFFERENTIATION_TER_ID,0))</f>
        <v>Территория 2</v>
      </c>
      <c r="AE68" s="6750"/>
      <c r="AF68" s="6750"/>
      <c r="AG68" s="6750"/>
      <c r="AH68" s="6750"/>
      <c r="AI68" s="6750"/>
      <c r="AJ68" s="6750"/>
      <c r="AK68" s="6750"/>
      <c r="AL68" s="6749"/>
      <c r="AM68" s="6750"/>
      <c r="AN68" s="6750"/>
      <c r="AO68" s="6750"/>
      <c r="AP68" s="6750"/>
      <c r="AQ68" s="6750"/>
      <c r="AR68" s="6750"/>
      <c r="AS68" s="6751"/>
      <c r="AT68" s="6749"/>
      <c r="AU68" s="6750"/>
      <c r="AV68" s="6750"/>
      <c r="AW68" s="6750"/>
      <c r="AX68" s="6750"/>
      <c r="AY68" s="6750"/>
      <c r="AZ68" s="6750"/>
      <c r="BA68" s="6751"/>
      <c r="BB68" s="6749"/>
      <c r="BC68" s="6750"/>
      <c r="BD68" s="6750"/>
      <c r="BE68" s="6750"/>
      <c r="BF68" s="6750"/>
      <c r="BG68" s="6750"/>
      <c r="BH68" s="6750"/>
      <c r="BI68" s="6751"/>
      <c r="BJ68" s="6749"/>
      <c r="BK68" s="6750"/>
      <c r="BL68" s="6750"/>
      <c r="BM68" s="6750"/>
      <c r="BN68" s="6750"/>
      <c r="BO68" s="6750"/>
      <c r="BP68" s="6750"/>
      <c r="BQ68" s="6751"/>
      <c r="BR68" s="6749"/>
      <c r="BS68" s="6750"/>
      <c r="BT68" s="6750"/>
      <c r="BU68" s="6750"/>
      <c r="BV68" s="6750"/>
      <c r="BW68" s="6750"/>
      <c r="BX68" s="6750"/>
      <c r="BY68" s="6751"/>
      <c r="BZ68" s="6751"/>
      <c r="CA68" s="2344" t="s">
        <v>518</v>
      </c>
      <c r="CB68" s="2211"/>
      <c r="CC68" s="2345"/>
      <c r="CD68" s="2345" t="str">
        <f t="shared" si="1"/>
        <v>Территория действия тарифа</v>
      </c>
      <c r="CE68" s="2345"/>
      <c r="CF68" s="2345"/>
    </row>
    <row r="69" spans="1:84" s="2564" customFormat="1" ht="23.25" customHeight="1">
      <c r="A69" s="2335"/>
      <c r="B69" s="2335"/>
      <c r="C69" s="2335" t="s">
        <v>234</v>
      </c>
      <c r="D69" s="2335"/>
      <c r="E69" s="6764"/>
      <c r="F69" s="6764" t="s">
        <v>98</v>
      </c>
      <c r="G69" s="6763">
        <v>1</v>
      </c>
      <c r="H69" s="2335"/>
      <c r="I69" s="2335"/>
      <c r="J69" s="2335"/>
      <c r="K69" s="2335"/>
      <c r="L69" s="2336"/>
      <c r="M69" s="2337"/>
      <c r="N69" s="2337"/>
      <c r="O69" s="2337"/>
      <c r="P69" s="2347"/>
      <c r="Q69" s="2339"/>
      <c r="R69" s="2340"/>
      <c r="S69" s="2341" t="str">
        <f>INDEX(PT_DIFFERENTIATION_NUM_CS,MATCH(C69,PT_DIFFERENTIATION_CS_ID,0))</f>
        <v>1.3.1</v>
      </c>
      <c r="T69" s="2348" t="s">
        <v>519</v>
      </c>
      <c r="U69" s="2343"/>
      <c r="V69" s="6749"/>
      <c r="W69" s="6750"/>
      <c r="X69" s="6750"/>
      <c r="Y69" s="6750"/>
      <c r="Z69" s="6750"/>
      <c r="AA69" s="6750"/>
      <c r="AB69" s="6750"/>
      <c r="AC69" s="6751"/>
      <c r="AD69" s="6749" t="str">
        <f>INDEX(PT_DIFFERENTIATION_CS,MATCH(C69,PT_DIFFERENTIATION_CS_ID,0))</f>
        <v>без дифференциации</v>
      </c>
      <c r="AE69" s="6750"/>
      <c r="AF69" s="6750"/>
      <c r="AG69" s="6750"/>
      <c r="AH69" s="6750"/>
      <c r="AI69" s="6750"/>
      <c r="AJ69" s="6750"/>
      <c r="AK69" s="6750"/>
      <c r="AL69" s="6749"/>
      <c r="AM69" s="6750"/>
      <c r="AN69" s="6750"/>
      <c r="AO69" s="6750"/>
      <c r="AP69" s="6750"/>
      <c r="AQ69" s="6750"/>
      <c r="AR69" s="6750"/>
      <c r="AS69" s="6751"/>
      <c r="AT69" s="6749"/>
      <c r="AU69" s="6750"/>
      <c r="AV69" s="6750"/>
      <c r="AW69" s="6750"/>
      <c r="AX69" s="6750"/>
      <c r="AY69" s="6750"/>
      <c r="AZ69" s="6750"/>
      <c r="BA69" s="6751"/>
      <c r="BB69" s="6749"/>
      <c r="BC69" s="6750"/>
      <c r="BD69" s="6750"/>
      <c r="BE69" s="6750"/>
      <c r="BF69" s="6750"/>
      <c r="BG69" s="6750"/>
      <c r="BH69" s="6750"/>
      <c r="BI69" s="6751"/>
      <c r="BJ69" s="6749"/>
      <c r="BK69" s="6750"/>
      <c r="BL69" s="6750"/>
      <c r="BM69" s="6750"/>
      <c r="BN69" s="6750"/>
      <c r="BO69" s="6750"/>
      <c r="BP69" s="6750"/>
      <c r="BQ69" s="6751"/>
      <c r="BR69" s="6749"/>
      <c r="BS69" s="6750"/>
      <c r="BT69" s="6750"/>
      <c r="BU69" s="6750"/>
      <c r="BV69" s="6750"/>
      <c r="BW69" s="6750"/>
      <c r="BX69" s="6750"/>
      <c r="BY69" s="6751"/>
      <c r="BZ69" s="6751"/>
      <c r="CA69" s="2344" t="s">
        <v>520</v>
      </c>
      <c r="CB69" s="2211"/>
      <c r="CC69" s="2345"/>
      <c r="CD69" s="2345" t="str">
        <f t="shared" si="1"/>
        <v xml:space="preserve">Наименование системы теплоснабжения </v>
      </c>
      <c r="CE69" s="2345"/>
      <c r="CF69" s="2345"/>
    </row>
    <row r="70" spans="1:84" s="2565" customFormat="1" ht="21" customHeight="1">
      <c r="A70" s="2335"/>
      <c r="B70" s="2335"/>
      <c r="C70" s="2335"/>
      <c r="D70" s="2335" t="s">
        <v>235</v>
      </c>
      <c r="E70" s="6764"/>
      <c r="F70" s="6764" t="s">
        <v>98</v>
      </c>
      <c r="G70" s="6764"/>
      <c r="H70" s="6763">
        <v>1</v>
      </c>
      <c r="I70" s="2335"/>
      <c r="J70" s="2335"/>
      <c r="K70" s="2335"/>
      <c r="L70" s="2336"/>
      <c r="M70" s="2337"/>
      <c r="N70" s="2337"/>
      <c r="O70" s="2337"/>
      <c r="P70" s="2347"/>
      <c r="Q70" s="2339"/>
      <c r="R70" s="2340"/>
      <c r="S70" s="2341" t="str">
        <f>INDEX(PT_DIFFERENTIATION_NUM_IST_TE,MATCH(D70,PT_DIFFERENTIATION_IST_TE_ID,0))</f>
        <v>1.3.1.1</v>
      </c>
      <c r="T70" s="2350" t="s">
        <v>521</v>
      </c>
      <c r="U70" s="2343"/>
      <c r="V70" s="6749"/>
      <c r="W70" s="6750"/>
      <c r="X70" s="6750"/>
      <c r="Y70" s="6750"/>
      <c r="Z70" s="6750"/>
      <c r="AA70" s="6750"/>
      <c r="AB70" s="6750"/>
      <c r="AC70" s="6751"/>
      <c r="AD70" s="6749" t="str">
        <f>INDEX(PT_DIFFERENTIATION_IST_TE,MATCH(D70,PT_DIFFERENTIATION_IST_TE_ID,0))</f>
        <v>без дифференциации</v>
      </c>
      <c r="AE70" s="6750"/>
      <c r="AF70" s="6750"/>
      <c r="AG70" s="6750"/>
      <c r="AH70" s="6750"/>
      <c r="AI70" s="6750"/>
      <c r="AJ70" s="6750"/>
      <c r="AK70" s="6750"/>
      <c r="AL70" s="6749"/>
      <c r="AM70" s="6750"/>
      <c r="AN70" s="6750"/>
      <c r="AO70" s="6750"/>
      <c r="AP70" s="6750"/>
      <c r="AQ70" s="6750"/>
      <c r="AR70" s="6750"/>
      <c r="AS70" s="6751"/>
      <c r="AT70" s="6749"/>
      <c r="AU70" s="6750"/>
      <c r="AV70" s="6750"/>
      <c r="AW70" s="6750"/>
      <c r="AX70" s="6750"/>
      <c r="AY70" s="6750"/>
      <c r="AZ70" s="6750"/>
      <c r="BA70" s="6751"/>
      <c r="BB70" s="6749"/>
      <c r="BC70" s="6750"/>
      <c r="BD70" s="6750"/>
      <c r="BE70" s="6750"/>
      <c r="BF70" s="6750"/>
      <c r="BG70" s="6750"/>
      <c r="BH70" s="6750"/>
      <c r="BI70" s="6751"/>
      <c r="BJ70" s="6749"/>
      <c r="BK70" s="6750"/>
      <c r="BL70" s="6750"/>
      <c r="BM70" s="6750"/>
      <c r="BN70" s="6750"/>
      <c r="BO70" s="6750"/>
      <c r="BP70" s="6750"/>
      <c r="BQ70" s="6751"/>
      <c r="BR70" s="6749"/>
      <c r="BS70" s="6750"/>
      <c r="BT70" s="6750"/>
      <c r="BU70" s="6750"/>
      <c r="BV70" s="6750"/>
      <c r="BW70" s="6750"/>
      <c r="BX70" s="6750"/>
      <c r="BY70" s="6751"/>
      <c r="BZ70" s="6751"/>
      <c r="CA70" s="2344" t="s">
        <v>522</v>
      </c>
      <c r="CB70" s="2211"/>
      <c r="CC70" s="2345"/>
      <c r="CD70" s="2345" t="str">
        <f t="shared" si="1"/>
        <v xml:space="preserve">Источник тепловой энергии  </v>
      </c>
      <c r="CE70" s="2345"/>
      <c r="CF70" s="2345"/>
    </row>
    <row r="71" spans="1:84" s="2566" customFormat="1" ht="47.25" customHeight="1">
      <c r="A71" s="2335"/>
      <c r="B71" s="2335"/>
      <c r="C71" s="2335"/>
      <c r="D71" s="2335"/>
      <c r="E71" s="6764"/>
      <c r="F71" s="6764" t="s">
        <v>98</v>
      </c>
      <c r="G71" s="6764"/>
      <c r="H71" s="6764"/>
      <c r="I71" s="6761" t="str">
        <f>S70&amp;".1"</f>
        <v>1.3.1.1.1</v>
      </c>
      <c r="J71" s="2335"/>
      <c r="K71" s="2335"/>
      <c r="L71" s="2336" t="s">
        <v>523</v>
      </c>
      <c r="M71" s="2205"/>
      <c r="N71" s="2352"/>
      <c r="O71" s="2352"/>
      <c r="P71" s="6762">
        <v>1</v>
      </c>
      <c r="Q71" s="2353"/>
      <c r="R71" s="2354"/>
      <c r="S71" s="2341" t="str">
        <f>$I71</f>
        <v>1.3.1.1.1</v>
      </c>
      <c r="T71" s="2355" t="s">
        <v>524</v>
      </c>
      <c r="U71" s="2343"/>
      <c r="V71" s="6752"/>
      <c r="W71" s="6753"/>
      <c r="X71" s="6753"/>
      <c r="Y71" s="6753"/>
      <c r="Z71" s="6753"/>
      <c r="AA71" s="6753"/>
      <c r="AB71" s="6753"/>
      <c r="AC71" s="6754"/>
      <c r="AD71" s="6752" t="s">
        <v>566</v>
      </c>
      <c r="AE71" s="6753"/>
      <c r="AF71" s="6753"/>
      <c r="AG71" s="6753"/>
      <c r="AH71" s="6753"/>
      <c r="AI71" s="6753"/>
      <c r="AJ71" s="6753"/>
      <c r="AK71" s="6753"/>
      <c r="AL71" s="6752"/>
      <c r="AM71" s="6753"/>
      <c r="AN71" s="6753"/>
      <c r="AO71" s="6753"/>
      <c r="AP71" s="6753"/>
      <c r="AQ71" s="6753"/>
      <c r="AR71" s="6753"/>
      <c r="AS71" s="6754"/>
      <c r="AT71" s="6752"/>
      <c r="AU71" s="6753"/>
      <c r="AV71" s="6753"/>
      <c r="AW71" s="6753"/>
      <c r="AX71" s="6753"/>
      <c r="AY71" s="6753"/>
      <c r="AZ71" s="6753"/>
      <c r="BA71" s="6754"/>
      <c r="BB71" s="6752"/>
      <c r="BC71" s="6753"/>
      <c r="BD71" s="6753"/>
      <c r="BE71" s="6753"/>
      <c r="BF71" s="6753"/>
      <c r="BG71" s="6753"/>
      <c r="BH71" s="6753"/>
      <c r="BI71" s="6754"/>
      <c r="BJ71" s="6752"/>
      <c r="BK71" s="6753"/>
      <c r="BL71" s="6753"/>
      <c r="BM71" s="6753"/>
      <c r="BN71" s="6753"/>
      <c r="BO71" s="6753"/>
      <c r="BP71" s="6753"/>
      <c r="BQ71" s="6754"/>
      <c r="BR71" s="6752"/>
      <c r="BS71" s="6753"/>
      <c r="BT71" s="6753"/>
      <c r="BU71" s="6753"/>
      <c r="BV71" s="6753"/>
      <c r="BW71" s="6753"/>
      <c r="BX71" s="6753"/>
      <c r="BY71" s="6754"/>
      <c r="BZ71" s="6754"/>
      <c r="CA71" s="2344" t="s">
        <v>525</v>
      </c>
      <c r="CB71" s="2211"/>
      <c r="CC71" s="2345"/>
      <c r="CD71" s="2345" t="str">
        <f t="shared" si="1"/>
        <v>Схема подключения теплопотребляющей установки к коллектору источника тепловой энергии</v>
      </c>
      <c r="CE71" s="2345"/>
      <c r="CF71" s="2345"/>
    </row>
    <row r="72" spans="1:84" s="2567" customFormat="1" ht="21" customHeight="1">
      <c r="A72" s="2335"/>
      <c r="B72" s="2335"/>
      <c r="C72" s="2335"/>
      <c r="D72" s="2335"/>
      <c r="E72" s="6764"/>
      <c r="F72" s="6764" t="s">
        <v>98</v>
      </c>
      <c r="G72" s="6764"/>
      <c r="H72" s="6764"/>
      <c r="I72" s="6784"/>
      <c r="J72" s="6761" t="str">
        <f>I71&amp;".1"</f>
        <v>1.3.1.1.1.1</v>
      </c>
      <c r="K72" s="2335"/>
      <c r="L72" s="2336" t="s">
        <v>526</v>
      </c>
      <c r="M72" s="2205"/>
      <c r="N72" s="2205"/>
      <c r="O72" s="2352"/>
      <c r="P72" s="6762"/>
      <c r="Q72" s="6762">
        <v>1</v>
      </c>
      <c r="R72" s="2357"/>
      <c r="S72" s="2341" t="str">
        <f>$J72</f>
        <v>1.3.1.1.1.1</v>
      </c>
      <c r="T72" s="2358" t="s">
        <v>527</v>
      </c>
      <c r="U72" s="2343"/>
      <c r="V72" s="6752"/>
      <c r="W72" s="6753"/>
      <c r="X72" s="6753"/>
      <c r="Y72" s="6753"/>
      <c r="Z72" s="6753"/>
      <c r="AA72" s="6753"/>
      <c r="AB72" s="6753"/>
      <c r="AC72" s="6754"/>
      <c r="AD72" s="6752" t="s">
        <v>566</v>
      </c>
      <c r="AE72" s="6753"/>
      <c r="AF72" s="6753"/>
      <c r="AG72" s="6753"/>
      <c r="AH72" s="6753"/>
      <c r="AI72" s="6753"/>
      <c r="AJ72" s="6753"/>
      <c r="AK72" s="6753"/>
      <c r="AL72" s="6752"/>
      <c r="AM72" s="6753"/>
      <c r="AN72" s="6753"/>
      <c r="AO72" s="6753"/>
      <c r="AP72" s="6753"/>
      <c r="AQ72" s="6753"/>
      <c r="AR72" s="6753"/>
      <c r="AS72" s="6754"/>
      <c r="AT72" s="6752"/>
      <c r="AU72" s="6753"/>
      <c r="AV72" s="6753"/>
      <c r="AW72" s="6753"/>
      <c r="AX72" s="6753"/>
      <c r="AY72" s="6753"/>
      <c r="AZ72" s="6753"/>
      <c r="BA72" s="6754"/>
      <c r="BB72" s="6752"/>
      <c r="BC72" s="6753"/>
      <c r="BD72" s="6753"/>
      <c r="BE72" s="6753"/>
      <c r="BF72" s="6753"/>
      <c r="BG72" s="6753"/>
      <c r="BH72" s="6753"/>
      <c r="BI72" s="6754"/>
      <c r="BJ72" s="6752"/>
      <c r="BK72" s="6753"/>
      <c r="BL72" s="6753"/>
      <c r="BM72" s="6753"/>
      <c r="BN72" s="6753"/>
      <c r="BO72" s="6753"/>
      <c r="BP72" s="6753"/>
      <c r="BQ72" s="6754"/>
      <c r="BR72" s="6752"/>
      <c r="BS72" s="6753"/>
      <c r="BT72" s="6753"/>
      <c r="BU72" s="6753"/>
      <c r="BV72" s="6753"/>
      <c r="BW72" s="6753"/>
      <c r="BX72" s="6753"/>
      <c r="BY72" s="6754"/>
      <c r="BZ72" s="6754"/>
      <c r="CA72" s="2344" t="s">
        <v>528</v>
      </c>
      <c r="CB72" s="2211"/>
      <c r="CC72" s="2345"/>
      <c r="CD72" s="2345" t="str">
        <f t="shared" si="1"/>
        <v>Группа потребителей</v>
      </c>
      <c r="CE72" s="2345"/>
      <c r="CF72" s="2345"/>
    </row>
    <row r="73" spans="1:84" s="2568" customFormat="1" ht="21" customHeight="1">
      <c r="A73" s="2335"/>
      <c r="B73" s="2335"/>
      <c r="C73" s="2335"/>
      <c r="D73" s="2335"/>
      <c r="E73" s="6764"/>
      <c r="F73" s="6764" t="s">
        <v>98</v>
      </c>
      <c r="G73" s="6764"/>
      <c r="H73" s="6764"/>
      <c r="I73" s="6784"/>
      <c r="J73" s="6784"/>
      <c r="K73" s="6761" t="str">
        <f>J72&amp;".1"</f>
        <v>1.3.1.1.1.1.1</v>
      </c>
      <c r="L73" s="2336" t="s">
        <v>529</v>
      </c>
      <c r="M73" s="2205"/>
      <c r="N73" s="2205"/>
      <c r="O73" s="2205"/>
      <c r="P73" s="6762"/>
      <c r="Q73" s="6762"/>
      <c r="R73" s="2357">
        <v>1</v>
      </c>
      <c r="S73" s="2341" t="str">
        <f>$K73</f>
        <v>1.3.1.1.1.1.1</v>
      </c>
      <c r="T73" s="2360" t="s">
        <v>567</v>
      </c>
      <c r="U73" s="2343"/>
      <c r="V73" s="2078"/>
      <c r="W73" s="2079"/>
      <c r="X73" s="2078"/>
      <c r="Y73" s="2080"/>
      <c r="Z73" s="6766"/>
      <c r="AA73" s="6610" t="s">
        <v>61</v>
      </c>
      <c r="AB73" s="6766"/>
      <c r="AC73" s="6610" t="s">
        <v>61</v>
      </c>
      <c r="AD73" s="2078">
        <v>3808.88</v>
      </c>
      <c r="AE73" s="2079"/>
      <c r="AF73" s="2078"/>
      <c r="AG73" s="2080"/>
      <c r="AH73" s="6766">
        <v>45292.481585648151</v>
      </c>
      <c r="AI73" s="6610" t="s">
        <v>61</v>
      </c>
      <c r="AJ73" s="6766">
        <v>45473.48165509259</v>
      </c>
      <c r="AK73" s="6610" t="s">
        <v>61</v>
      </c>
      <c r="AL73" s="2078">
        <v>3808.88</v>
      </c>
      <c r="AM73" s="2079"/>
      <c r="AN73" s="2078"/>
      <c r="AO73" s="2080"/>
      <c r="AP73" s="6766">
        <v>45474.482199074075</v>
      </c>
      <c r="AQ73" s="6610" t="s">
        <v>61</v>
      </c>
      <c r="AR73" s="6766">
        <v>45838.482349537036</v>
      </c>
      <c r="AS73" s="6610" t="s">
        <v>61</v>
      </c>
      <c r="AT73" s="2078">
        <v>4198.05</v>
      </c>
      <c r="AU73" s="2079"/>
      <c r="AV73" s="2078"/>
      <c r="AW73" s="2080"/>
      <c r="AX73" s="6766">
        <v>45839.482731481483</v>
      </c>
      <c r="AY73" s="6610" t="s">
        <v>61</v>
      </c>
      <c r="AZ73" s="6766">
        <v>46203.482905092591</v>
      </c>
      <c r="BA73" s="6610" t="s">
        <v>61</v>
      </c>
      <c r="BB73" s="2078">
        <v>4337.67</v>
      </c>
      <c r="BC73" s="2079"/>
      <c r="BD73" s="2078"/>
      <c r="BE73" s="2080"/>
      <c r="BF73" s="6766">
        <v>46204.483206018522</v>
      </c>
      <c r="BG73" s="6610" t="s">
        <v>61</v>
      </c>
      <c r="BH73" s="6766">
        <v>46568.48337962963</v>
      </c>
      <c r="BI73" s="6610" t="s">
        <v>61</v>
      </c>
      <c r="BJ73" s="2078">
        <v>4478.38</v>
      </c>
      <c r="BK73" s="2079"/>
      <c r="BL73" s="2078"/>
      <c r="BM73" s="2080"/>
      <c r="BN73" s="6766">
        <v>46569.483703703707</v>
      </c>
      <c r="BO73" s="6610" t="s">
        <v>61</v>
      </c>
      <c r="BP73" s="6766">
        <v>46934.483912037038</v>
      </c>
      <c r="BQ73" s="6610" t="s">
        <v>61</v>
      </c>
      <c r="BR73" s="2078">
        <v>4623.87</v>
      </c>
      <c r="BS73" s="2079"/>
      <c r="BT73" s="2078"/>
      <c r="BU73" s="2080"/>
      <c r="BV73" s="6766">
        <v>46935.484155092592</v>
      </c>
      <c r="BW73" s="6610" t="s">
        <v>61</v>
      </c>
      <c r="BX73" s="6766">
        <v>47118.484490740739</v>
      </c>
      <c r="BY73" s="6610" t="s">
        <v>61</v>
      </c>
      <c r="BZ73" s="2079"/>
      <c r="CA73" s="6758" t="s">
        <v>530</v>
      </c>
      <c r="CB73" s="2211" t="e">
        <f ca="1">STRCHECKDATE(V74:BZ74)</f>
        <v>#NAME?</v>
      </c>
      <c r="CC73" s="2345"/>
      <c r="CD73" s="2345" t="str">
        <f t="shared" si="1"/>
        <v>вода</v>
      </c>
      <c r="CE73" s="2345"/>
      <c r="CF73" s="2345"/>
    </row>
    <row r="74" spans="1:84" s="2569" customFormat="1" ht="0.75" customHeight="1">
      <c r="A74" s="2335"/>
      <c r="B74" s="2335"/>
      <c r="C74" s="2335"/>
      <c r="D74" s="2335"/>
      <c r="E74" s="6764"/>
      <c r="F74" s="6764" t="s">
        <v>98</v>
      </c>
      <c r="G74" s="6764"/>
      <c r="H74" s="6764"/>
      <c r="I74" s="6784"/>
      <c r="J74" s="6784"/>
      <c r="K74" s="6761"/>
      <c r="L74" s="2336"/>
      <c r="M74" s="2205"/>
      <c r="N74" s="2205"/>
      <c r="O74" s="2205"/>
      <c r="P74" s="6762"/>
      <c r="Q74" s="6762"/>
      <c r="R74" s="2357"/>
      <c r="S74" s="2362"/>
      <c r="T74" s="2343"/>
      <c r="U74" s="2343"/>
      <c r="V74" s="2079"/>
      <c r="W74" s="2079"/>
      <c r="X74" s="2079"/>
      <c r="Y74" s="2082" t="str">
        <f>Z73&amp;"-"&amp;AB73</f>
        <v>-</v>
      </c>
      <c r="Z74" s="6767"/>
      <c r="AA74" s="6610"/>
      <c r="AB74" s="6767"/>
      <c r="AC74" s="6610"/>
      <c r="AD74" s="2079"/>
      <c r="AE74" s="2079"/>
      <c r="AF74" s="2079"/>
      <c r="AG74" s="2082" t="str">
        <f>AH73&amp;"-"&amp;AJ73</f>
        <v>45292,4815856482-45473,4816550926</v>
      </c>
      <c r="AH74" s="6767"/>
      <c r="AI74" s="6610"/>
      <c r="AJ74" s="6767"/>
      <c r="AK74" s="6610"/>
      <c r="AL74" s="2079"/>
      <c r="AM74" s="2079"/>
      <c r="AN74" s="2079"/>
      <c r="AO74" s="2082" t="str">
        <f>AP73&amp;"-"&amp;AR73</f>
        <v>45474,4821990741-45838,482349537</v>
      </c>
      <c r="AP74" s="6767"/>
      <c r="AQ74" s="6610"/>
      <c r="AR74" s="6767"/>
      <c r="AS74" s="6610"/>
      <c r="AT74" s="2079"/>
      <c r="AU74" s="2079"/>
      <c r="AV74" s="2079"/>
      <c r="AW74" s="2082" t="str">
        <f>AX73&amp;"-"&amp;AZ73</f>
        <v>45839,4827314815-46203,4829050926</v>
      </c>
      <c r="AX74" s="6767"/>
      <c r="AY74" s="6610"/>
      <c r="AZ74" s="6767"/>
      <c r="BA74" s="6610"/>
      <c r="BB74" s="2079"/>
      <c r="BC74" s="2079"/>
      <c r="BD74" s="2079"/>
      <c r="BE74" s="2082" t="str">
        <f>BF73&amp;"-"&amp;BH73</f>
        <v>46204,4832060185-46568,4833796296</v>
      </c>
      <c r="BF74" s="6767"/>
      <c r="BG74" s="6610"/>
      <c r="BH74" s="6767"/>
      <c r="BI74" s="6610"/>
      <c r="BJ74" s="2079"/>
      <c r="BK74" s="2079"/>
      <c r="BL74" s="2079"/>
      <c r="BM74" s="2082" t="str">
        <f>BN73&amp;"-"&amp;BP73</f>
        <v>46569,4837037037-46934,483912037</v>
      </c>
      <c r="BN74" s="6767"/>
      <c r="BO74" s="6610"/>
      <c r="BP74" s="6767"/>
      <c r="BQ74" s="6610"/>
      <c r="BR74" s="2079"/>
      <c r="BS74" s="2079"/>
      <c r="BT74" s="2079"/>
      <c r="BU74" s="2082" t="str">
        <f>BV73&amp;"-"&amp;BX73</f>
        <v>46935,4841550926-47118,4844907407</v>
      </c>
      <c r="BV74" s="6767"/>
      <c r="BW74" s="6610"/>
      <c r="BX74" s="6767"/>
      <c r="BY74" s="6610"/>
      <c r="BZ74" s="2079"/>
      <c r="CA74" s="6759"/>
      <c r="CB74" s="2211"/>
      <c r="CC74" s="2345"/>
      <c r="CD74" s="2345" t="str">
        <f t="shared" si="1"/>
        <v/>
      </c>
      <c r="CE74" s="2345"/>
      <c r="CF74" s="2345"/>
    </row>
    <row r="75" spans="1:84" s="2570" customFormat="1" ht="15" customHeight="1">
      <c r="A75" s="2335"/>
      <c r="B75" s="2335"/>
      <c r="C75" s="2335"/>
      <c r="D75" s="2335"/>
      <c r="E75" s="6764"/>
      <c r="F75" s="6764" t="s">
        <v>98</v>
      </c>
      <c r="G75" s="6764"/>
      <c r="H75" s="6764"/>
      <c r="I75" s="6784"/>
      <c r="J75" s="6761"/>
      <c r="K75" s="2335"/>
      <c r="L75" s="2336"/>
      <c r="M75" s="2205"/>
      <c r="N75" s="2205"/>
      <c r="O75" s="2352"/>
      <c r="P75" s="6762"/>
      <c r="Q75" s="6762"/>
      <c r="R75" s="2354"/>
      <c r="S75" s="2571"/>
      <c r="T75" s="2572" t="s">
        <v>531</v>
      </c>
      <c r="U75" s="2573"/>
      <c r="V75" s="2574"/>
      <c r="W75" s="2575"/>
      <c r="X75" s="2576"/>
      <c r="Y75" s="2577"/>
      <c r="Z75" s="2578"/>
      <c r="AA75" s="2579"/>
      <c r="AB75" s="2580"/>
      <c r="AC75" s="2581"/>
      <c r="AD75" s="2582"/>
      <c r="AE75" s="2583"/>
      <c r="AF75" s="2584"/>
      <c r="AG75" s="2585"/>
      <c r="AH75" s="2586"/>
      <c r="AI75" s="2587"/>
      <c r="AJ75" s="2588"/>
      <c r="AK75" s="2589"/>
      <c r="AL75" s="2590"/>
      <c r="AM75" s="2591"/>
      <c r="AN75" s="2592"/>
      <c r="AO75" s="2593"/>
      <c r="AP75" s="2594"/>
      <c r="AQ75" s="2595"/>
      <c r="AR75" s="2596"/>
      <c r="AS75" s="2597"/>
      <c r="AT75" s="2598"/>
      <c r="AU75" s="2599"/>
      <c r="AV75" s="2600"/>
      <c r="AW75" s="2601"/>
      <c r="AX75" s="2602"/>
      <c r="AY75" s="2603"/>
      <c r="AZ75" s="2604"/>
      <c r="BA75" s="2605"/>
      <c r="BB75" s="2606"/>
      <c r="BC75" s="2607"/>
      <c r="BD75" s="2608"/>
      <c r="BE75" s="2609"/>
      <c r="BF75" s="2610"/>
      <c r="BG75" s="2611"/>
      <c r="BH75" s="2612"/>
      <c r="BI75" s="2613"/>
      <c r="BJ75" s="2614"/>
      <c r="BK75" s="2615"/>
      <c r="BL75" s="2616"/>
      <c r="BM75" s="2617"/>
      <c r="BN75" s="2618"/>
      <c r="BO75" s="2619"/>
      <c r="BP75" s="2620"/>
      <c r="BQ75" s="2621"/>
      <c r="BR75" s="2622"/>
      <c r="BS75" s="2623"/>
      <c r="BT75" s="2624"/>
      <c r="BU75" s="2625"/>
      <c r="BV75" s="2626"/>
      <c r="BW75" s="2627"/>
      <c r="BX75" s="2628"/>
      <c r="BY75" s="2629"/>
      <c r="BZ75" s="2630"/>
      <c r="CA75" s="6760"/>
      <c r="CB75" s="2211"/>
      <c r="CC75" s="2345"/>
      <c r="CD75" s="2345" t="str">
        <f t="shared" ref="CD75:CD106" si="2">IF(T75="","",T75)</f>
        <v>Добавить вид теплоносителя (параметры теплоносителя)</v>
      </c>
      <c r="CE75" s="2345"/>
      <c r="CF75" s="2345"/>
    </row>
    <row r="76" spans="1:84" s="2631" customFormat="1" ht="15" customHeight="1">
      <c r="A76" s="2335"/>
      <c r="B76" s="2335"/>
      <c r="C76" s="2335"/>
      <c r="D76" s="2335"/>
      <c r="E76" s="6764"/>
      <c r="F76" s="6764" t="s">
        <v>98</v>
      </c>
      <c r="G76" s="6764"/>
      <c r="H76" s="6764"/>
      <c r="I76" s="6761"/>
      <c r="J76" s="2335"/>
      <c r="K76" s="2335"/>
      <c r="L76" s="2336"/>
      <c r="M76" s="2205"/>
      <c r="N76" s="2352"/>
      <c r="O76" s="2352"/>
      <c r="P76" s="6762"/>
      <c r="Q76" s="2353"/>
      <c r="R76" s="2354"/>
      <c r="S76" s="2632"/>
      <c r="T76" s="2633" t="s">
        <v>532</v>
      </c>
      <c r="U76" s="2634"/>
      <c r="V76" s="2635"/>
      <c r="W76" s="2636"/>
      <c r="X76" s="2637"/>
      <c r="Y76" s="2638"/>
      <c r="Z76" s="2639"/>
      <c r="AA76" s="2640"/>
      <c r="AB76" s="2641"/>
      <c r="AC76" s="2642"/>
      <c r="AD76" s="2643"/>
      <c r="AE76" s="2644"/>
      <c r="AF76" s="2645"/>
      <c r="AG76" s="2646"/>
      <c r="AH76" s="2647"/>
      <c r="AI76" s="2648"/>
      <c r="AJ76" s="2649"/>
      <c r="AK76" s="2650"/>
      <c r="AL76" s="2651"/>
      <c r="AM76" s="2652"/>
      <c r="AN76" s="2653"/>
      <c r="AO76" s="2654"/>
      <c r="AP76" s="2655"/>
      <c r="AQ76" s="2656"/>
      <c r="AR76" s="2657"/>
      <c r="AS76" s="2658"/>
      <c r="AT76" s="2659"/>
      <c r="AU76" s="2660"/>
      <c r="AV76" s="2661"/>
      <c r="AW76" s="2662"/>
      <c r="AX76" s="2663"/>
      <c r="AY76" s="2664"/>
      <c r="AZ76" s="2665"/>
      <c r="BA76" s="2666"/>
      <c r="BB76" s="2667"/>
      <c r="BC76" s="2668"/>
      <c r="BD76" s="2669"/>
      <c r="BE76" s="2670"/>
      <c r="BF76" s="2671"/>
      <c r="BG76" s="2672"/>
      <c r="BH76" s="2673"/>
      <c r="BI76" s="2674"/>
      <c r="BJ76" s="2675"/>
      <c r="BK76" s="2676"/>
      <c r="BL76" s="2677"/>
      <c r="BM76" s="2678"/>
      <c r="BN76" s="2679"/>
      <c r="BO76" s="2680"/>
      <c r="BP76" s="2681"/>
      <c r="BQ76" s="2682"/>
      <c r="BR76" s="2683"/>
      <c r="BS76" s="2684"/>
      <c r="BT76" s="2685"/>
      <c r="BU76" s="2686"/>
      <c r="BV76" s="2687"/>
      <c r="BW76" s="2688"/>
      <c r="BX76" s="2689"/>
      <c r="BY76" s="2690"/>
      <c r="BZ76" s="2691"/>
      <c r="CA76" s="2692"/>
      <c r="CB76" s="2211"/>
      <c r="CC76" s="2345"/>
      <c r="CD76" s="2345" t="str">
        <f t="shared" si="2"/>
        <v>Добавить группу потребителей</v>
      </c>
      <c r="CE76" s="2345"/>
      <c r="CF76" s="2345"/>
    </row>
    <row r="77" spans="1:84" s="2693" customFormat="1" ht="14.25" customHeight="1">
      <c r="A77" s="2335"/>
      <c r="B77" s="2335"/>
      <c r="C77" s="2335"/>
      <c r="D77" s="2335"/>
      <c r="E77" s="6764"/>
      <c r="F77" s="6764" t="s">
        <v>98</v>
      </c>
      <c r="G77" s="6764"/>
      <c r="H77" s="6763"/>
      <c r="I77" s="2335"/>
      <c r="J77" s="2335"/>
      <c r="K77" s="2335"/>
      <c r="L77" s="2336"/>
      <c r="M77" s="2337"/>
      <c r="N77" s="2337"/>
      <c r="O77" s="2205"/>
      <c r="P77" s="2487"/>
      <c r="Q77" s="2488"/>
      <c r="R77" s="2489"/>
      <c r="S77" s="2694"/>
      <c r="T77" s="2695" t="s">
        <v>533</v>
      </c>
      <c r="U77" s="2696"/>
      <c r="V77" s="2697"/>
      <c r="W77" s="2698"/>
      <c r="X77" s="2699"/>
      <c r="Y77" s="2700"/>
      <c r="Z77" s="2701"/>
      <c r="AA77" s="2702"/>
      <c r="AB77" s="2703"/>
      <c r="AC77" s="2704"/>
      <c r="AD77" s="2705"/>
      <c r="AE77" s="2706"/>
      <c r="AF77" s="2707"/>
      <c r="AG77" s="2708"/>
      <c r="AH77" s="2709"/>
      <c r="AI77" s="2710"/>
      <c r="AJ77" s="2711"/>
      <c r="AK77" s="2712"/>
      <c r="AL77" s="2713"/>
      <c r="AM77" s="2714"/>
      <c r="AN77" s="2715"/>
      <c r="AO77" s="2716"/>
      <c r="AP77" s="2717"/>
      <c r="AQ77" s="2718"/>
      <c r="AR77" s="2719"/>
      <c r="AS77" s="2720"/>
      <c r="AT77" s="2721"/>
      <c r="AU77" s="2722"/>
      <c r="AV77" s="2723"/>
      <c r="AW77" s="2724"/>
      <c r="AX77" s="2725"/>
      <c r="AY77" s="2726"/>
      <c r="AZ77" s="2727"/>
      <c r="BA77" s="2728"/>
      <c r="BB77" s="2729"/>
      <c r="BC77" s="2730"/>
      <c r="BD77" s="2731"/>
      <c r="BE77" s="2732"/>
      <c r="BF77" s="2733"/>
      <c r="BG77" s="2734"/>
      <c r="BH77" s="2735"/>
      <c r="BI77" s="2736"/>
      <c r="BJ77" s="2737"/>
      <c r="BK77" s="2738"/>
      <c r="BL77" s="2739"/>
      <c r="BM77" s="2740"/>
      <c r="BN77" s="2741"/>
      <c r="BO77" s="2742"/>
      <c r="BP77" s="2743"/>
      <c r="BQ77" s="2744"/>
      <c r="BR77" s="2745"/>
      <c r="BS77" s="2746"/>
      <c r="BT77" s="2747"/>
      <c r="BU77" s="2748"/>
      <c r="BV77" s="2749"/>
      <c r="BW77" s="2750"/>
      <c r="BX77" s="2751"/>
      <c r="BY77" s="2752"/>
      <c r="BZ77" s="2753"/>
      <c r="CA77" s="2754"/>
      <c r="CB77" s="2211"/>
      <c r="CC77" s="2345"/>
      <c r="CD77" s="2345" t="str">
        <f t="shared" si="2"/>
        <v>Добавить схему подключения</v>
      </c>
      <c r="CE77" s="2345"/>
      <c r="CF77" s="2345"/>
    </row>
    <row r="78" spans="1:84" s="2755" customFormat="1" ht="0.75" customHeight="1">
      <c r="A78" s="2552"/>
      <c r="B78" s="2552"/>
      <c r="C78" s="2552"/>
      <c r="D78" s="2552"/>
      <c r="E78" s="6764"/>
      <c r="F78" s="6764" t="s">
        <v>98</v>
      </c>
      <c r="G78" s="6763"/>
      <c r="H78" s="2552"/>
      <c r="I78" s="2552"/>
      <c r="J78" s="2552"/>
      <c r="K78" s="2552"/>
      <c r="L78" s="2553"/>
      <c r="M78" s="2554"/>
      <c r="N78" s="2554"/>
      <c r="O78" s="2211"/>
      <c r="P78" s="2555"/>
      <c r="Q78" s="2556"/>
      <c r="R78" s="2555"/>
      <c r="S78" s="2557"/>
      <c r="T78" s="2558" t="s">
        <v>228</v>
      </c>
      <c r="U78" s="2203"/>
      <c r="V78" s="2203"/>
      <c r="W78" s="2203"/>
      <c r="X78" s="2203"/>
      <c r="Y78" s="2203"/>
      <c r="Z78" s="2203"/>
      <c r="AA78" s="2203"/>
      <c r="AB78" s="2203"/>
      <c r="AC78" s="2203"/>
      <c r="AD78" s="2203"/>
      <c r="AE78" s="2203"/>
      <c r="AF78" s="2203"/>
      <c r="AG78" s="2203"/>
      <c r="AH78" s="2203"/>
      <c r="AI78" s="2203"/>
      <c r="AJ78" s="2203"/>
      <c r="AK78" s="2203"/>
      <c r="AL78" s="2203"/>
      <c r="AM78" s="2203"/>
      <c r="AN78" s="2203"/>
      <c r="AO78" s="2203"/>
      <c r="AP78" s="2203"/>
      <c r="AQ78" s="2203"/>
      <c r="AR78" s="2203"/>
      <c r="AS78" s="2203"/>
      <c r="AT78" s="2203"/>
      <c r="AU78" s="2203"/>
      <c r="AV78" s="2203"/>
      <c r="AW78" s="2203"/>
      <c r="AX78" s="2203"/>
      <c r="AY78" s="2203"/>
      <c r="AZ78" s="2203"/>
      <c r="BA78" s="2203"/>
      <c r="BB78" s="2203"/>
      <c r="BC78" s="2203"/>
      <c r="BD78" s="2203"/>
      <c r="BE78" s="2203"/>
      <c r="BF78" s="2203"/>
      <c r="BG78" s="2203"/>
      <c r="BH78" s="2203"/>
      <c r="BI78" s="2203"/>
      <c r="BJ78" s="2203"/>
      <c r="BK78" s="2203"/>
      <c r="BL78" s="2203"/>
      <c r="BM78" s="2203"/>
      <c r="BN78" s="2203"/>
      <c r="BO78" s="2203"/>
      <c r="BP78" s="2203"/>
      <c r="BQ78" s="2203"/>
      <c r="BR78" s="2203"/>
      <c r="BS78" s="2203"/>
      <c r="BT78" s="2203"/>
      <c r="BU78" s="2203"/>
      <c r="BV78" s="2203"/>
      <c r="BW78" s="2203"/>
      <c r="BX78" s="2203"/>
      <c r="BY78" s="2203"/>
      <c r="BZ78" s="2203"/>
      <c r="CA78" s="2203"/>
      <c r="CB78" s="2211"/>
      <c r="CC78" s="2345"/>
      <c r="CD78" s="2345" t="str">
        <f t="shared" si="2"/>
        <v>Добавить источник для дифференциации</v>
      </c>
      <c r="CE78" s="2345"/>
      <c r="CF78" s="2345"/>
    </row>
    <row r="79" spans="1:84" s="2756" customFormat="1" ht="0.75" customHeight="1">
      <c r="A79" s="2552"/>
      <c r="B79" s="2552"/>
      <c r="C79" s="2552"/>
      <c r="D79" s="2552"/>
      <c r="E79" s="6764"/>
      <c r="F79" s="6763" t="s">
        <v>98</v>
      </c>
      <c r="G79" s="2552"/>
      <c r="H79" s="2552"/>
      <c r="I79" s="2552"/>
      <c r="J79" s="2552"/>
      <c r="K79" s="2552"/>
      <c r="L79" s="2553"/>
      <c r="M79" s="2560"/>
      <c r="N79" s="2560"/>
      <c r="O79" s="2211"/>
      <c r="P79" s="2555"/>
      <c r="Q79" s="2556"/>
      <c r="R79" s="2555"/>
      <c r="S79" s="2561"/>
      <c r="T79" s="2562" t="s">
        <v>229</v>
      </c>
      <c r="U79" s="2204"/>
      <c r="V79" s="2204"/>
      <c r="W79" s="2204"/>
      <c r="X79" s="2204"/>
      <c r="Y79" s="2204"/>
      <c r="Z79" s="2204"/>
      <c r="AA79" s="2204"/>
      <c r="AB79" s="2204"/>
      <c r="AC79" s="2204"/>
      <c r="AD79" s="2204"/>
      <c r="AE79" s="2204"/>
      <c r="AF79" s="2204"/>
      <c r="AG79" s="2204"/>
      <c r="AH79" s="2204"/>
      <c r="AI79" s="2204"/>
      <c r="AJ79" s="2204"/>
      <c r="AK79" s="2204"/>
      <c r="AL79" s="2204"/>
      <c r="AM79" s="2204"/>
      <c r="AN79" s="2204"/>
      <c r="AO79" s="2204"/>
      <c r="AP79" s="2204"/>
      <c r="AQ79" s="2204"/>
      <c r="AR79" s="2204"/>
      <c r="AS79" s="2204"/>
      <c r="AT79" s="2204"/>
      <c r="AU79" s="2204"/>
      <c r="AV79" s="2204"/>
      <c r="AW79" s="2204"/>
      <c r="AX79" s="2204"/>
      <c r="AY79" s="2204"/>
      <c r="AZ79" s="2204"/>
      <c r="BA79" s="2204"/>
      <c r="BB79" s="2204"/>
      <c r="BC79" s="2204"/>
      <c r="BD79" s="2204"/>
      <c r="BE79" s="2204"/>
      <c r="BF79" s="2204"/>
      <c r="BG79" s="2204"/>
      <c r="BH79" s="2204"/>
      <c r="BI79" s="2204"/>
      <c r="BJ79" s="2204"/>
      <c r="BK79" s="2204"/>
      <c r="BL79" s="2204"/>
      <c r="BM79" s="2204"/>
      <c r="BN79" s="2204"/>
      <c r="BO79" s="2204"/>
      <c r="BP79" s="2204"/>
      <c r="BQ79" s="2204"/>
      <c r="BR79" s="2204"/>
      <c r="BS79" s="2204"/>
      <c r="BT79" s="2204"/>
      <c r="BU79" s="2204"/>
      <c r="BV79" s="2204"/>
      <c r="BW79" s="2204"/>
      <c r="BX79" s="2204"/>
      <c r="BY79" s="2204"/>
      <c r="BZ79" s="2204"/>
      <c r="CA79" s="2204"/>
      <c r="CB79" s="2211"/>
      <c r="CC79" s="2345"/>
      <c r="CD79" s="2345" t="str">
        <f t="shared" si="2"/>
        <v>Добавить централизованную систему для дифференциации</v>
      </c>
      <c r="CE79" s="2345"/>
      <c r="CF79" s="2345"/>
    </row>
    <row r="80" spans="1:84" s="2757" customFormat="1" ht="21" customHeight="1">
      <c r="A80" s="2335"/>
      <c r="B80" s="2335" t="s">
        <v>236</v>
      </c>
      <c r="C80" s="2335"/>
      <c r="D80" s="2335"/>
      <c r="E80" s="6764"/>
      <c r="F80" s="6763" t="s">
        <v>90</v>
      </c>
      <c r="G80" s="2335"/>
      <c r="H80" s="2335"/>
      <c r="I80" s="2335"/>
      <c r="J80" s="2335"/>
      <c r="K80" s="2335"/>
      <c r="L80" s="2336"/>
      <c r="M80" s="2337"/>
      <c r="N80" s="2337"/>
      <c r="O80" s="2337"/>
      <c r="P80" s="2338"/>
      <c r="Q80" s="2339"/>
      <c r="R80" s="2340"/>
      <c r="S80" s="2341" t="str">
        <f>INDEX(PT_DIFFERENTIATION_NUM_TER,MATCH(B80,PT_DIFFERENTIATION_TER_ID,0))</f>
        <v>1.4</v>
      </c>
      <c r="T80" s="2342" t="s">
        <v>517</v>
      </c>
      <c r="U80" s="2343"/>
      <c r="V80" s="6749"/>
      <c r="W80" s="6750"/>
      <c r="X80" s="6750"/>
      <c r="Y80" s="6750"/>
      <c r="Z80" s="6750"/>
      <c r="AA80" s="6750"/>
      <c r="AB80" s="6750"/>
      <c r="AC80" s="6751"/>
      <c r="AD80" s="6749" t="str">
        <f>INDEX(PT_DIFFERENTIATION_TER,MATCH(B80,PT_DIFFERENTIATION_TER_ID,0))</f>
        <v>Территория 3</v>
      </c>
      <c r="AE80" s="6750"/>
      <c r="AF80" s="6750"/>
      <c r="AG80" s="6750"/>
      <c r="AH80" s="6750"/>
      <c r="AI80" s="6750"/>
      <c r="AJ80" s="6750"/>
      <c r="AK80" s="6750"/>
      <c r="AL80" s="6749"/>
      <c r="AM80" s="6750"/>
      <c r="AN80" s="6750"/>
      <c r="AO80" s="6750"/>
      <c r="AP80" s="6750"/>
      <c r="AQ80" s="6750"/>
      <c r="AR80" s="6750"/>
      <c r="AS80" s="6751"/>
      <c r="AT80" s="6749"/>
      <c r="AU80" s="6750"/>
      <c r="AV80" s="6750"/>
      <c r="AW80" s="6750"/>
      <c r="AX80" s="6750"/>
      <c r="AY80" s="6750"/>
      <c r="AZ80" s="6750"/>
      <c r="BA80" s="6751"/>
      <c r="BB80" s="6749"/>
      <c r="BC80" s="6750"/>
      <c r="BD80" s="6750"/>
      <c r="BE80" s="6750"/>
      <c r="BF80" s="6750"/>
      <c r="BG80" s="6750"/>
      <c r="BH80" s="6750"/>
      <c r="BI80" s="6751"/>
      <c r="BJ80" s="6749"/>
      <c r="BK80" s="6750"/>
      <c r="BL80" s="6750"/>
      <c r="BM80" s="6750"/>
      <c r="BN80" s="6750"/>
      <c r="BO80" s="6750"/>
      <c r="BP80" s="6750"/>
      <c r="BQ80" s="6751"/>
      <c r="BR80" s="6749"/>
      <c r="BS80" s="6750"/>
      <c r="BT80" s="6750"/>
      <c r="BU80" s="6750"/>
      <c r="BV80" s="6750"/>
      <c r="BW80" s="6750"/>
      <c r="BX80" s="6750"/>
      <c r="BY80" s="6751"/>
      <c r="BZ80" s="6751"/>
      <c r="CA80" s="2344" t="s">
        <v>518</v>
      </c>
      <c r="CB80" s="2211"/>
      <c r="CC80" s="2345"/>
      <c r="CD80" s="2345" t="str">
        <f t="shared" si="2"/>
        <v>Территория действия тарифа</v>
      </c>
      <c r="CE80" s="2345"/>
      <c r="CF80" s="2345"/>
    </row>
    <row r="81" spans="1:84" s="2758" customFormat="1" ht="23.25" customHeight="1">
      <c r="A81" s="2335"/>
      <c r="B81" s="2335"/>
      <c r="C81" s="2335" t="s">
        <v>237</v>
      </c>
      <c r="D81" s="2335"/>
      <c r="E81" s="6764"/>
      <c r="F81" s="6764" t="s">
        <v>89</v>
      </c>
      <c r="G81" s="6763">
        <v>1</v>
      </c>
      <c r="H81" s="2335"/>
      <c r="I81" s="2335"/>
      <c r="J81" s="2335"/>
      <c r="K81" s="2335"/>
      <c r="L81" s="2336"/>
      <c r="M81" s="2337"/>
      <c r="N81" s="2337"/>
      <c r="O81" s="2337"/>
      <c r="P81" s="2347"/>
      <c r="Q81" s="2339"/>
      <c r="R81" s="2340"/>
      <c r="S81" s="2341" t="str">
        <f>INDEX(PT_DIFFERENTIATION_NUM_CS,MATCH(C81,PT_DIFFERENTIATION_CS_ID,0))</f>
        <v>1.4.1</v>
      </c>
      <c r="T81" s="2348" t="s">
        <v>519</v>
      </c>
      <c r="U81" s="2343"/>
      <c r="V81" s="6749"/>
      <c r="W81" s="6750"/>
      <c r="X81" s="6750"/>
      <c r="Y81" s="6750"/>
      <c r="Z81" s="6750"/>
      <c r="AA81" s="6750"/>
      <c r="AB81" s="6750"/>
      <c r="AC81" s="6751"/>
      <c r="AD81" s="6749" t="str">
        <f>INDEX(PT_DIFFERENTIATION_CS,MATCH(C81,PT_DIFFERENTIATION_CS_ID,0))</f>
        <v>без дифференциации</v>
      </c>
      <c r="AE81" s="6750"/>
      <c r="AF81" s="6750"/>
      <c r="AG81" s="6750"/>
      <c r="AH81" s="6750"/>
      <c r="AI81" s="6750"/>
      <c r="AJ81" s="6750"/>
      <c r="AK81" s="6750"/>
      <c r="AL81" s="6749"/>
      <c r="AM81" s="6750"/>
      <c r="AN81" s="6750"/>
      <c r="AO81" s="6750"/>
      <c r="AP81" s="6750"/>
      <c r="AQ81" s="6750"/>
      <c r="AR81" s="6750"/>
      <c r="AS81" s="6751"/>
      <c r="AT81" s="6749"/>
      <c r="AU81" s="6750"/>
      <c r="AV81" s="6750"/>
      <c r="AW81" s="6750"/>
      <c r="AX81" s="6750"/>
      <c r="AY81" s="6750"/>
      <c r="AZ81" s="6750"/>
      <c r="BA81" s="6751"/>
      <c r="BB81" s="6749"/>
      <c r="BC81" s="6750"/>
      <c r="BD81" s="6750"/>
      <c r="BE81" s="6750"/>
      <c r="BF81" s="6750"/>
      <c r="BG81" s="6750"/>
      <c r="BH81" s="6750"/>
      <c r="BI81" s="6751"/>
      <c r="BJ81" s="6749"/>
      <c r="BK81" s="6750"/>
      <c r="BL81" s="6750"/>
      <c r="BM81" s="6750"/>
      <c r="BN81" s="6750"/>
      <c r="BO81" s="6750"/>
      <c r="BP81" s="6750"/>
      <c r="BQ81" s="6751"/>
      <c r="BR81" s="6749"/>
      <c r="BS81" s="6750"/>
      <c r="BT81" s="6750"/>
      <c r="BU81" s="6750"/>
      <c r="BV81" s="6750"/>
      <c r="BW81" s="6750"/>
      <c r="BX81" s="6750"/>
      <c r="BY81" s="6751"/>
      <c r="BZ81" s="6751"/>
      <c r="CA81" s="2344" t="s">
        <v>520</v>
      </c>
      <c r="CB81" s="2211"/>
      <c r="CC81" s="2345"/>
      <c r="CD81" s="2345" t="str">
        <f t="shared" si="2"/>
        <v xml:space="preserve">Наименование системы теплоснабжения </v>
      </c>
      <c r="CE81" s="2345"/>
      <c r="CF81" s="2345"/>
    </row>
    <row r="82" spans="1:84" s="2759" customFormat="1" ht="21" customHeight="1">
      <c r="A82" s="2335"/>
      <c r="B82" s="2335"/>
      <c r="C82" s="2335"/>
      <c r="D82" s="2335" t="s">
        <v>238</v>
      </c>
      <c r="E82" s="6764"/>
      <c r="F82" s="6764" t="s">
        <v>89</v>
      </c>
      <c r="G82" s="6764"/>
      <c r="H82" s="6763">
        <v>1</v>
      </c>
      <c r="I82" s="2335"/>
      <c r="J82" s="2335"/>
      <c r="K82" s="2335"/>
      <c r="L82" s="2336"/>
      <c r="M82" s="2337"/>
      <c r="N82" s="2337"/>
      <c r="O82" s="2337"/>
      <c r="P82" s="2347"/>
      <c r="Q82" s="2339"/>
      <c r="R82" s="2340"/>
      <c r="S82" s="2341" t="str">
        <f>INDEX(PT_DIFFERENTIATION_NUM_IST_TE,MATCH(D82,PT_DIFFERENTIATION_IST_TE_ID,0))</f>
        <v>1.4.1.1</v>
      </c>
      <c r="T82" s="2350" t="s">
        <v>521</v>
      </c>
      <c r="U82" s="2343"/>
      <c r="V82" s="6749"/>
      <c r="W82" s="6750"/>
      <c r="X82" s="6750"/>
      <c r="Y82" s="6750"/>
      <c r="Z82" s="6750"/>
      <c r="AA82" s="6750"/>
      <c r="AB82" s="6750"/>
      <c r="AC82" s="6751"/>
      <c r="AD82" s="6749" t="str">
        <f>INDEX(PT_DIFFERENTIATION_IST_TE,MATCH(D82,PT_DIFFERENTIATION_IST_TE_ID,0))</f>
        <v>без дифференциации</v>
      </c>
      <c r="AE82" s="6750"/>
      <c r="AF82" s="6750"/>
      <c r="AG82" s="6750"/>
      <c r="AH82" s="6750"/>
      <c r="AI82" s="6750"/>
      <c r="AJ82" s="6750"/>
      <c r="AK82" s="6750"/>
      <c r="AL82" s="6749"/>
      <c r="AM82" s="6750"/>
      <c r="AN82" s="6750"/>
      <c r="AO82" s="6750"/>
      <c r="AP82" s="6750"/>
      <c r="AQ82" s="6750"/>
      <c r="AR82" s="6750"/>
      <c r="AS82" s="6751"/>
      <c r="AT82" s="6749"/>
      <c r="AU82" s="6750"/>
      <c r="AV82" s="6750"/>
      <c r="AW82" s="6750"/>
      <c r="AX82" s="6750"/>
      <c r="AY82" s="6750"/>
      <c r="AZ82" s="6750"/>
      <c r="BA82" s="6751"/>
      <c r="BB82" s="6749"/>
      <c r="BC82" s="6750"/>
      <c r="BD82" s="6750"/>
      <c r="BE82" s="6750"/>
      <c r="BF82" s="6750"/>
      <c r="BG82" s="6750"/>
      <c r="BH82" s="6750"/>
      <c r="BI82" s="6751"/>
      <c r="BJ82" s="6749"/>
      <c r="BK82" s="6750"/>
      <c r="BL82" s="6750"/>
      <c r="BM82" s="6750"/>
      <c r="BN82" s="6750"/>
      <c r="BO82" s="6750"/>
      <c r="BP82" s="6750"/>
      <c r="BQ82" s="6751"/>
      <c r="BR82" s="6749"/>
      <c r="BS82" s="6750"/>
      <c r="BT82" s="6750"/>
      <c r="BU82" s="6750"/>
      <c r="BV82" s="6750"/>
      <c r="BW82" s="6750"/>
      <c r="BX82" s="6750"/>
      <c r="BY82" s="6751"/>
      <c r="BZ82" s="6751"/>
      <c r="CA82" s="2344" t="s">
        <v>522</v>
      </c>
      <c r="CB82" s="2211"/>
      <c r="CC82" s="2345"/>
      <c r="CD82" s="2345" t="str">
        <f t="shared" si="2"/>
        <v xml:space="preserve">Источник тепловой энергии  </v>
      </c>
      <c r="CE82" s="2345"/>
      <c r="CF82" s="2345"/>
    </row>
    <row r="83" spans="1:84" s="2760" customFormat="1" ht="47.25" customHeight="1">
      <c r="A83" s="2335"/>
      <c r="B83" s="2335"/>
      <c r="C83" s="2335"/>
      <c r="D83" s="2335"/>
      <c r="E83" s="6764"/>
      <c r="F83" s="6764" t="s">
        <v>89</v>
      </c>
      <c r="G83" s="6764"/>
      <c r="H83" s="6764"/>
      <c r="I83" s="6761" t="str">
        <f>S82&amp;".1"</f>
        <v>1.4.1.1.1</v>
      </c>
      <c r="J83" s="2335"/>
      <c r="K83" s="2335"/>
      <c r="L83" s="2336" t="s">
        <v>523</v>
      </c>
      <c r="M83" s="2205"/>
      <c r="N83" s="2352"/>
      <c r="O83" s="2352"/>
      <c r="P83" s="6762">
        <v>1</v>
      </c>
      <c r="Q83" s="2353"/>
      <c r="R83" s="2354"/>
      <c r="S83" s="2341" t="str">
        <f>$I83</f>
        <v>1.4.1.1.1</v>
      </c>
      <c r="T83" s="2355" t="s">
        <v>524</v>
      </c>
      <c r="U83" s="2343"/>
      <c r="V83" s="6752"/>
      <c r="W83" s="6753"/>
      <c r="X83" s="6753"/>
      <c r="Y83" s="6753"/>
      <c r="Z83" s="6753"/>
      <c r="AA83" s="6753"/>
      <c r="AB83" s="6753"/>
      <c r="AC83" s="6754"/>
      <c r="AD83" s="6752" t="s">
        <v>566</v>
      </c>
      <c r="AE83" s="6753"/>
      <c r="AF83" s="6753"/>
      <c r="AG83" s="6753"/>
      <c r="AH83" s="6753"/>
      <c r="AI83" s="6753"/>
      <c r="AJ83" s="6753"/>
      <c r="AK83" s="6753"/>
      <c r="AL83" s="6752"/>
      <c r="AM83" s="6753"/>
      <c r="AN83" s="6753"/>
      <c r="AO83" s="6753"/>
      <c r="AP83" s="6753"/>
      <c r="AQ83" s="6753"/>
      <c r="AR83" s="6753"/>
      <c r="AS83" s="6754"/>
      <c r="AT83" s="6752"/>
      <c r="AU83" s="6753"/>
      <c r="AV83" s="6753"/>
      <c r="AW83" s="6753"/>
      <c r="AX83" s="6753"/>
      <c r="AY83" s="6753"/>
      <c r="AZ83" s="6753"/>
      <c r="BA83" s="6754"/>
      <c r="BB83" s="6752"/>
      <c r="BC83" s="6753"/>
      <c r="BD83" s="6753"/>
      <c r="BE83" s="6753"/>
      <c r="BF83" s="6753"/>
      <c r="BG83" s="6753"/>
      <c r="BH83" s="6753"/>
      <c r="BI83" s="6754"/>
      <c r="BJ83" s="6752"/>
      <c r="BK83" s="6753"/>
      <c r="BL83" s="6753"/>
      <c r="BM83" s="6753"/>
      <c r="BN83" s="6753"/>
      <c r="BO83" s="6753"/>
      <c r="BP83" s="6753"/>
      <c r="BQ83" s="6754"/>
      <c r="BR83" s="6752"/>
      <c r="BS83" s="6753"/>
      <c r="BT83" s="6753"/>
      <c r="BU83" s="6753"/>
      <c r="BV83" s="6753"/>
      <c r="BW83" s="6753"/>
      <c r="BX83" s="6753"/>
      <c r="BY83" s="6754"/>
      <c r="BZ83" s="6754"/>
      <c r="CA83" s="2344" t="s">
        <v>525</v>
      </c>
      <c r="CB83" s="2211"/>
      <c r="CC83" s="2345"/>
      <c r="CD83" s="2345" t="str">
        <f t="shared" si="2"/>
        <v>Схема подключения теплопотребляющей установки к коллектору источника тепловой энергии</v>
      </c>
      <c r="CE83" s="2345"/>
      <c r="CF83" s="2345"/>
    </row>
    <row r="84" spans="1:84" s="2761" customFormat="1" ht="21" customHeight="1">
      <c r="A84" s="2335"/>
      <c r="B84" s="2335"/>
      <c r="C84" s="2335"/>
      <c r="D84" s="2335"/>
      <c r="E84" s="6764"/>
      <c r="F84" s="6764" t="s">
        <v>89</v>
      </c>
      <c r="G84" s="6764"/>
      <c r="H84" s="6764"/>
      <c r="I84" s="6784"/>
      <c r="J84" s="6761" t="str">
        <f>I83&amp;".1"</f>
        <v>1.4.1.1.1.1</v>
      </c>
      <c r="K84" s="2335"/>
      <c r="L84" s="2336" t="s">
        <v>526</v>
      </c>
      <c r="M84" s="2205"/>
      <c r="N84" s="2205"/>
      <c r="O84" s="2352"/>
      <c r="P84" s="6762"/>
      <c r="Q84" s="6762">
        <v>1</v>
      </c>
      <c r="R84" s="2357"/>
      <c r="S84" s="2341" t="str">
        <f>$J84</f>
        <v>1.4.1.1.1.1</v>
      </c>
      <c r="T84" s="2358" t="s">
        <v>527</v>
      </c>
      <c r="U84" s="2343"/>
      <c r="V84" s="6752"/>
      <c r="W84" s="6753"/>
      <c r="X84" s="6753"/>
      <c r="Y84" s="6753"/>
      <c r="Z84" s="6753"/>
      <c r="AA84" s="6753"/>
      <c r="AB84" s="6753"/>
      <c r="AC84" s="6754"/>
      <c r="AD84" s="6752" t="s">
        <v>566</v>
      </c>
      <c r="AE84" s="6753"/>
      <c r="AF84" s="6753"/>
      <c r="AG84" s="6753"/>
      <c r="AH84" s="6753"/>
      <c r="AI84" s="6753"/>
      <c r="AJ84" s="6753"/>
      <c r="AK84" s="6753"/>
      <c r="AL84" s="6752"/>
      <c r="AM84" s="6753"/>
      <c r="AN84" s="6753"/>
      <c r="AO84" s="6753"/>
      <c r="AP84" s="6753"/>
      <c r="AQ84" s="6753"/>
      <c r="AR84" s="6753"/>
      <c r="AS84" s="6754"/>
      <c r="AT84" s="6752"/>
      <c r="AU84" s="6753"/>
      <c r="AV84" s="6753"/>
      <c r="AW84" s="6753"/>
      <c r="AX84" s="6753"/>
      <c r="AY84" s="6753"/>
      <c r="AZ84" s="6753"/>
      <c r="BA84" s="6754"/>
      <c r="BB84" s="6752"/>
      <c r="BC84" s="6753"/>
      <c r="BD84" s="6753"/>
      <c r="BE84" s="6753"/>
      <c r="BF84" s="6753"/>
      <c r="BG84" s="6753"/>
      <c r="BH84" s="6753"/>
      <c r="BI84" s="6754"/>
      <c r="BJ84" s="6752"/>
      <c r="BK84" s="6753"/>
      <c r="BL84" s="6753"/>
      <c r="BM84" s="6753"/>
      <c r="BN84" s="6753"/>
      <c r="BO84" s="6753"/>
      <c r="BP84" s="6753"/>
      <c r="BQ84" s="6754"/>
      <c r="BR84" s="6752"/>
      <c r="BS84" s="6753"/>
      <c r="BT84" s="6753"/>
      <c r="BU84" s="6753"/>
      <c r="BV84" s="6753"/>
      <c r="BW84" s="6753"/>
      <c r="BX84" s="6753"/>
      <c r="BY84" s="6754"/>
      <c r="BZ84" s="6754"/>
      <c r="CA84" s="2344" t="s">
        <v>528</v>
      </c>
      <c r="CB84" s="2211"/>
      <c r="CC84" s="2345"/>
      <c r="CD84" s="2345" t="str">
        <f t="shared" si="2"/>
        <v>Группа потребителей</v>
      </c>
      <c r="CE84" s="2345"/>
      <c r="CF84" s="2345"/>
    </row>
    <row r="85" spans="1:84" s="2762" customFormat="1" ht="21" customHeight="1">
      <c r="A85" s="2335"/>
      <c r="B85" s="2335"/>
      <c r="C85" s="2335"/>
      <c r="D85" s="2335"/>
      <c r="E85" s="6764"/>
      <c r="F85" s="6764" t="s">
        <v>89</v>
      </c>
      <c r="G85" s="6764"/>
      <c r="H85" s="6764"/>
      <c r="I85" s="6784"/>
      <c r="J85" s="6784"/>
      <c r="K85" s="6761" t="str">
        <f>J84&amp;".1"</f>
        <v>1.4.1.1.1.1.1</v>
      </c>
      <c r="L85" s="2336" t="s">
        <v>529</v>
      </c>
      <c r="M85" s="2205"/>
      <c r="N85" s="2205"/>
      <c r="O85" s="2205"/>
      <c r="P85" s="6762"/>
      <c r="Q85" s="6762"/>
      <c r="R85" s="2357">
        <v>1</v>
      </c>
      <c r="S85" s="2341" t="str">
        <f>$K85</f>
        <v>1.4.1.1.1.1.1</v>
      </c>
      <c r="T85" s="2360" t="s">
        <v>567</v>
      </c>
      <c r="U85" s="2343"/>
      <c r="V85" s="2763"/>
      <c r="W85" s="2763"/>
      <c r="X85" s="2763"/>
      <c r="Y85" s="2764"/>
      <c r="Z85" s="6768"/>
      <c r="AA85" s="6769" t="s">
        <v>61</v>
      </c>
      <c r="AB85" s="6768"/>
      <c r="AC85" s="6769" t="s">
        <v>61</v>
      </c>
      <c r="AD85" s="2078">
        <v>2551.71</v>
      </c>
      <c r="AE85" s="2079"/>
      <c r="AF85" s="2078"/>
      <c r="AG85" s="2080"/>
      <c r="AH85" s="6766">
        <v>45292.487337962964</v>
      </c>
      <c r="AI85" s="6610" t="s">
        <v>61</v>
      </c>
      <c r="AJ85" s="6766">
        <v>45838.48741898148</v>
      </c>
      <c r="AK85" s="6610" t="s">
        <v>61</v>
      </c>
      <c r="AL85" s="2078">
        <v>2860.24</v>
      </c>
      <c r="AM85" s="2079"/>
      <c r="AN85" s="2078"/>
      <c r="AO85" s="2080"/>
      <c r="AP85" s="6766">
        <v>45839.487939814811</v>
      </c>
      <c r="AQ85" s="6610" t="s">
        <v>61</v>
      </c>
      <c r="AR85" s="6766">
        <v>46203.488125000003</v>
      </c>
      <c r="AS85" s="6610" t="s">
        <v>61</v>
      </c>
      <c r="AT85" s="2078">
        <v>2963.37</v>
      </c>
      <c r="AU85" s="2079"/>
      <c r="AV85" s="2078"/>
      <c r="AW85" s="2080"/>
      <c r="AX85" s="6766">
        <v>46204.48847222222</v>
      </c>
      <c r="AY85" s="6610" t="s">
        <v>61</v>
      </c>
      <c r="AZ85" s="6766">
        <v>46568.488738425927</v>
      </c>
      <c r="BA85" s="6610" t="s">
        <v>61</v>
      </c>
      <c r="BB85" s="2078">
        <v>3065.16</v>
      </c>
      <c r="BC85" s="2079"/>
      <c r="BD85" s="2078"/>
      <c r="BE85" s="2080"/>
      <c r="BF85" s="6766">
        <v>46569.488969907405</v>
      </c>
      <c r="BG85" s="6610" t="s">
        <v>61</v>
      </c>
      <c r="BH85" s="6766">
        <v>46934.48914351852</v>
      </c>
      <c r="BI85" s="6610" t="s">
        <v>61</v>
      </c>
      <c r="BJ85" s="2078">
        <v>3170.53</v>
      </c>
      <c r="BK85" s="2079"/>
      <c r="BL85" s="2078"/>
      <c r="BM85" s="2080"/>
      <c r="BN85" s="6766">
        <v>46935.489363425928</v>
      </c>
      <c r="BO85" s="6610" t="s">
        <v>61</v>
      </c>
      <c r="BP85" s="6766">
        <v>47118.489548611113</v>
      </c>
      <c r="BQ85" s="6610" t="s">
        <v>56</v>
      </c>
      <c r="BR85" s="2763"/>
      <c r="BS85" s="2763"/>
      <c r="BT85" s="2763"/>
      <c r="BU85" s="2764"/>
      <c r="BV85" s="6768"/>
      <c r="BW85" s="6769" t="s">
        <v>61</v>
      </c>
      <c r="BX85" s="6768"/>
      <c r="BY85" s="6769" t="s">
        <v>61</v>
      </c>
      <c r="BZ85" s="2079"/>
      <c r="CA85" s="6758" t="s">
        <v>530</v>
      </c>
      <c r="CB85" s="2211" t="e">
        <f ca="1">STRCHECKDATE(V86:BZ86)</f>
        <v>#NAME?</v>
      </c>
      <c r="CC85" s="2345"/>
      <c r="CD85" s="2345" t="str">
        <f t="shared" si="2"/>
        <v>вода</v>
      </c>
      <c r="CE85" s="2345"/>
      <c r="CF85" s="2345"/>
    </row>
    <row r="86" spans="1:84" s="2765" customFormat="1" ht="0.75" customHeight="1">
      <c r="A86" s="2335"/>
      <c r="B86" s="2335"/>
      <c r="C86" s="2335"/>
      <c r="D86" s="2335"/>
      <c r="E86" s="6764"/>
      <c r="F86" s="6764" t="s">
        <v>89</v>
      </c>
      <c r="G86" s="6764"/>
      <c r="H86" s="6764"/>
      <c r="I86" s="6784"/>
      <c r="J86" s="6784"/>
      <c r="K86" s="6761"/>
      <c r="L86" s="2336"/>
      <c r="M86" s="2205"/>
      <c r="N86" s="2205"/>
      <c r="O86" s="2205"/>
      <c r="P86" s="6762"/>
      <c r="Q86" s="6762"/>
      <c r="R86" s="2357"/>
      <c r="S86" s="2362"/>
      <c r="T86" s="2343"/>
      <c r="U86" s="2343"/>
      <c r="V86" s="2763"/>
      <c r="W86" s="2763"/>
      <c r="X86" s="2763"/>
      <c r="Y86" s="2082" t="str">
        <f>Z85&amp;"-"&amp;AB85</f>
        <v>-</v>
      </c>
      <c r="Z86" s="6769"/>
      <c r="AA86" s="6769"/>
      <c r="AB86" s="6769"/>
      <c r="AC86" s="6769"/>
      <c r="AD86" s="2079"/>
      <c r="AE86" s="2079"/>
      <c r="AF86" s="2079"/>
      <c r="AG86" s="2082" t="str">
        <f>AH85&amp;"-"&amp;AJ85</f>
        <v>45292,487337963-45838,4874189815</v>
      </c>
      <c r="AH86" s="6767"/>
      <c r="AI86" s="6610"/>
      <c r="AJ86" s="6767"/>
      <c r="AK86" s="6610"/>
      <c r="AL86" s="2079"/>
      <c r="AM86" s="2079"/>
      <c r="AN86" s="2079"/>
      <c r="AO86" s="2082" t="str">
        <f>AP85&amp;"-"&amp;AR85</f>
        <v>45839,4879398148-46203,488125</v>
      </c>
      <c r="AP86" s="6767"/>
      <c r="AQ86" s="6610"/>
      <c r="AR86" s="6767"/>
      <c r="AS86" s="6610"/>
      <c r="AT86" s="2079"/>
      <c r="AU86" s="2079"/>
      <c r="AV86" s="2079"/>
      <c r="AW86" s="2082" t="str">
        <f>AX85&amp;"-"&amp;AZ85</f>
        <v>46204,4884722222-46568,4887384259</v>
      </c>
      <c r="AX86" s="6767"/>
      <c r="AY86" s="6610"/>
      <c r="AZ86" s="6767"/>
      <c r="BA86" s="6610"/>
      <c r="BB86" s="2079"/>
      <c r="BC86" s="2079"/>
      <c r="BD86" s="2079"/>
      <c r="BE86" s="2082" t="str">
        <f>BF85&amp;"-"&amp;BH85</f>
        <v>46569,4889699074-46934,4891435185</v>
      </c>
      <c r="BF86" s="6767"/>
      <c r="BG86" s="6610"/>
      <c r="BH86" s="6767"/>
      <c r="BI86" s="6610"/>
      <c r="BJ86" s="2079"/>
      <c r="BK86" s="2079"/>
      <c r="BL86" s="2079"/>
      <c r="BM86" s="2082" t="str">
        <f>BN85&amp;"-"&amp;BP85</f>
        <v>46935,4893634259-47118,4895486111</v>
      </c>
      <c r="BN86" s="6767"/>
      <c r="BO86" s="6610"/>
      <c r="BP86" s="6767"/>
      <c r="BQ86" s="6610"/>
      <c r="BR86" s="2763"/>
      <c r="BS86" s="2763"/>
      <c r="BT86" s="2763"/>
      <c r="BU86" s="2082" t="str">
        <f>BV85&amp;"-"&amp;BX85</f>
        <v>-</v>
      </c>
      <c r="BV86" s="6769"/>
      <c r="BW86" s="6769"/>
      <c r="BX86" s="6769"/>
      <c r="BY86" s="6769"/>
      <c r="BZ86" s="2079"/>
      <c r="CA86" s="6759"/>
      <c r="CB86" s="2211"/>
      <c r="CC86" s="2345"/>
      <c r="CD86" s="2345" t="str">
        <f t="shared" si="2"/>
        <v/>
      </c>
      <c r="CE86" s="2345"/>
      <c r="CF86" s="2345"/>
    </row>
    <row r="87" spans="1:84" s="2766" customFormat="1" ht="15" customHeight="1">
      <c r="A87" s="2335"/>
      <c r="B87" s="2335"/>
      <c r="C87" s="2335"/>
      <c r="D87" s="2335"/>
      <c r="E87" s="6764"/>
      <c r="F87" s="6764" t="s">
        <v>89</v>
      </c>
      <c r="G87" s="6764"/>
      <c r="H87" s="6764"/>
      <c r="I87" s="6784"/>
      <c r="J87" s="6761"/>
      <c r="K87" s="2335"/>
      <c r="L87" s="2336"/>
      <c r="M87" s="2205"/>
      <c r="N87" s="2205"/>
      <c r="O87" s="2352"/>
      <c r="P87" s="6762"/>
      <c r="Q87" s="6762"/>
      <c r="R87" s="2354"/>
      <c r="S87" s="2767"/>
      <c r="T87" s="2768" t="s">
        <v>531</v>
      </c>
      <c r="U87" s="2769"/>
      <c r="V87" s="2770"/>
      <c r="W87" s="2771"/>
      <c r="X87" s="2772"/>
      <c r="Y87" s="2773"/>
      <c r="Z87" s="2774"/>
      <c r="AA87" s="2775"/>
      <c r="AB87" s="2776"/>
      <c r="AC87" s="2777"/>
      <c r="AD87" s="2778"/>
      <c r="AE87" s="2779"/>
      <c r="AF87" s="2780"/>
      <c r="AG87" s="2781"/>
      <c r="AH87" s="2782"/>
      <c r="AI87" s="2783"/>
      <c r="AJ87" s="2784"/>
      <c r="AK87" s="2785"/>
      <c r="AL87" s="2786"/>
      <c r="AM87" s="2787"/>
      <c r="AN87" s="2788"/>
      <c r="AO87" s="2789"/>
      <c r="AP87" s="2790"/>
      <c r="AQ87" s="2791"/>
      <c r="AR87" s="2792"/>
      <c r="AS87" s="2793"/>
      <c r="AT87" s="2794"/>
      <c r="AU87" s="2795"/>
      <c r="AV87" s="2796"/>
      <c r="AW87" s="2797"/>
      <c r="AX87" s="2798"/>
      <c r="AY87" s="2799"/>
      <c r="AZ87" s="2800"/>
      <c r="BA87" s="2801"/>
      <c r="BB87" s="2802"/>
      <c r="BC87" s="2803"/>
      <c r="BD87" s="2804"/>
      <c r="BE87" s="2805"/>
      <c r="BF87" s="2806"/>
      <c r="BG87" s="2807"/>
      <c r="BH87" s="2808"/>
      <c r="BI87" s="2809"/>
      <c r="BJ87" s="2810"/>
      <c r="BK87" s="2811"/>
      <c r="BL87" s="2812"/>
      <c r="BM87" s="2813"/>
      <c r="BN87" s="2814"/>
      <c r="BO87" s="2815"/>
      <c r="BP87" s="2816"/>
      <c r="BQ87" s="2817"/>
      <c r="BR87" s="2818"/>
      <c r="BS87" s="2819"/>
      <c r="BT87" s="2820"/>
      <c r="BU87" s="2821"/>
      <c r="BV87" s="2822"/>
      <c r="BW87" s="2823"/>
      <c r="BX87" s="2824"/>
      <c r="BY87" s="2825"/>
      <c r="BZ87" s="2826"/>
      <c r="CA87" s="6760"/>
      <c r="CB87" s="2211"/>
      <c r="CC87" s="2345"/>
      <c r="CD87" s="2345" t="str">
        <f t="shared" si="2"/>
        <v>Добавить вид теплоносителя (параметры теплоносителя)</v>
      </c>
      <c r="CE87" s="2345"/>
      <c r="CF87" s="2345"/>
    </row>
    <row r="88" spans="1:84" s="2827" customFormat="1" ht="15" customHeight="1">
      <c r="A88" s="2335"/>
      <c r="B88" s="2335"/>
      <c r="C88" s="2335"/>
      <c r="D88" s="2335"/>
      <c r="E88" s="6764"/>
      <c r="F88" s="6764" t="s">
        <v>89</v>
      </c>
      <c r="G88" s="6764"/>
      <c r="H88" s="6764"/>
      <c r="I88" s="6761"/>
      <c r="J88" s="2335"/>
      <c r="K88" s="2335"/>
      <c r="L88" s="2336"/>
      <c r="M88" s="2205"/>
      <c r="N88" s="2352"/>
      <c r="O88" s="2352"/>
      <c r="P88" s="6762"/>
      <c r="Q88" s="2353"/>
      <c r="R88" s="2354"/>
      <c r="S88" s="2828"/>
      <c r="T88" s="2829" t="s">
        <v>532</v>
      </c>
      <c r="U88" s="2830"/>
      <c r="V88" s="2831"/>
      <c r="W88" s="2832"/>
      <c r="X88" s="2833"/>
      <c r="Y88" s="2834"/>
      <c r="Z88" s="2835"/>
      <c r="AA88" s="2836"/>
      <c r="AB88" s="2837"/>
      <c r="AC88" s="2838"/>
      <c r="AD88" s="2839"/>
      <c r="AE88" s="2840"/>
      <c r="AF88" s="2841"/>
      <c r="AG88" s="2842"/>
      <c r="AH88" s="2843"/>
      <c r="AI88" s="2844"/>
      <c r="AJ88" s="2845"/>
      <c r="AK88" s="2846"/>
      <c r="AL88" s="2847"/>
      <c r="AM88" s="2848"/>
      <c r="AN88" s="2849"/>
      <c r="AO88" s="2850"/>
      <c r="AP88" s="2851"/>
      <c r="AQ88" s="2852"/>
      <c r="AR88" s="2853"/>
      <c r="AS88" s="2854"/>
      <c r="AT88" s="2855"/>
      <c r="AU88" s="2856"/>
      <c r="AV88" s="2857"/>
      <c r="AW88" s="2858"/>
      <c r="AX88" s="2859"/>
      <c r="AY88" s="2860"/>
      <c r="AZ88" s="2861"/>
      <c r="BA88" s="2862"/>
      <c r="BB88" s="2863"/>
      <c r="BC88" s="2864"/>
      <c r="BD88" s="2865"/>
      <c r="BE88" s="2866"/>
      <c r="BF88" s="2867"/>
      <c r="BG88" s="2868"/>
      <c r="BH88" s="2869"/>
      <c r="BI88" s="2870"/>
      <c r="BJ88" s="2871"/>
      <c r="BK88" s="2872"/>
      <c r="BL88" s="2873"/>
      <c r="BM88" s="2874"/>
      <c r="BN88" s="2875"/>
      <c r="BO88" s="2876"/>
      <c r="BP88" s="2877"/>
      <c r="BQ88" s="2878"/>
      <c r="BR88" s="2879"/>
      <c r="BS88" s="2880"/>
      <c r="BT88" s="2881"/>
      <c r="BU88" s="2882"/>
      <c r="BV88" s="2883"/>
      <c r="BW88" s="2884"/>
      <c r="BX88" s="2885"/>
      <c r="BY88" s="2886"/>
      <c r="BZ88" s="2887"/>
      <c r="CA88" s="2888"/>
      <c r="CB88" s="2211"/>
      <c r="CC88" s="2345"/>
      <c r="CD88" s="2345" t="str">
        <f t="shared" si="2"/>
        <v>Добавить группу потребителей</v>
      </c>
      <c r="CE88" s="2345"/>
      <c r="CF88" s="2345"/>
    </row>
    <row r="89" spans="1:84" s="2889" customFormat="1" ht="14.25" customHeight="1">
      <c r="A89" s="2335"/>
      <c r="B89" s="2335"/>
      <c r="C89" s="2335"/>
      <c r="D89" s="2335"/>
      <c r="E89" s="6764"/>
      <c r="F89" s="6764" t="s">
        <v>89</v>
      </c>
      <c r="G89" s="6764"/>
      <c r="H89" s="6763"/>
      <c r="I89" s="2335"/>
      <c r="J89" s="2335"/>
      <c r="K89" s="2335"/>
      <c r="L89" s="2336"/>
      <c r="M89" s="2337"/>
      <c r="N89" s="2337"/>
      <c r="O89" s="2205"/>
      <c r="P89" s="2487"/>
      <c r="Q89" s="2488"/>
      <c r="R89" s="2489"/>
      <c r="S89" s="2890"/>
      <c r="T89" s="2891" t="s">
        <v>533</v>
      </c>
      <c r="U89" s="2892"/>
      <c r="V89" s="2893"/>
      <c r="W89" s="2894"/>
      <c r="X89" s="2895"/>
      <c r="Y89" s="2896"/>
      <c r="Z89" s="2897"/>
      <c r="AA89" s="2898"/>
      <c r="AB89" s="2899"/>
      <c r="AC89" s="2900"/>
      <c r="AD89" s="2901"/>
      <c r="AE89" s="2902"/>
      <c r="AF89" s="2903"/>
      <c r="AG89" s="2904"/>
      <c r="AH89" s="2905"/>
      <c r="AI89" s="2906"/>
      <c r="AJ89" s="2907"/>
      <c r="AK89" s="2908"/>
      <c r="AL89" s="2909"/>
      <c r="AM89" s="2910"/>
      <c r="AN89" s="2911"/>
      <c r="AO89" s="2912"/>
      <c r="AP89" s="2913"/>
      <c r="AQ89" s="2914"/>
      <c r="AR89" s="2915"/>
      <c r="AS89" s="2916"/>
      <c r="AT89" s="2917"/>
      <c r="AU89" s="2918"/>
      <c r="AV89" s="2919"/>
      <c r="AW89" s="2920"/>
      <c r="AX89" s="2921"/>
      <c r="AY89" s="2922"/>
      <c r="AZ89" s="2923"/>
      <c r="BA89" s="2924"/>
      <c r="BB89" s="2925"/>
      <c r="BC89" s="2926"/>
      <c r="BD89" s="2927"/>
      <c r="BE89" s="2928"/>
      <c r="BF89" s="2929"/>
      <c r="BG89" s="2930"/>
      <c r="BH89" s="2931"/>
      <c r="BI89" s="2932"/>
      <c r="BJ89" s="2933"/>
      <c r="BK89" s="2934"/>
      <c r="BL89" s="2935"/>
      <c r="BM89" s="2936"/>
      <c r="BN89" s="2937"/>
      <c r="BO89" s="2938"/>
      <c r="BP89" s="2939"/>
      <c r="BQ89" s="2940"/>
      <c r="BR89" s="2941"/>
      <c r="BS89" s="2942"/>
      <c r="BT89" s="2943"/>
      <c r="BU89" s="2944"/>
      <c r="BV89" s="2945"/>
      <c r="BW89" s="2946"/>
      <c r="BX89" s="2947"/>
      <c r="BY89" s="2948"/>
      <c r="BZ89" s="2949"/>
      <c r="CA89" s="2950"/>
      <c r="CB89" s="2211"/>
      <c r="CC89" s="2345"/>
      <c r="CD89" s="2345" t="str">
        <f t="shared" si="2"/>
        <v>Добавить схему подключения</v>
      </c>
      <c r="CE89" s="2345"/>
      <c r="CF89" s="2345"/>
    </row>
    <row r="90" spans="1:84" s="2951" customFormat="1" ht="0.75" customHeight="1">
      <c r="A90" s="2552"/>
      <c r="B90" s="2552"/>
      <c r="C90" s="2552"/>
      <c r="D90" s="2552"/>
      <c r="E90" s="6764"/>
      <c r="F90" s="6764" t="s">
        <v>89</v>
      </c>
      <c r="G90" s="6763"/>
      <c r="H90" s="2552"/>
      <c r="I90" s="2552"/>
      <c r="J90" s="2552"/>
      <c r="K90" s="2552"/>
      <c r="L90" s="2553"/>
      <c r="M90" s="2554"/>
      <c r="N90" s="2554"/>
      <c r="O90" s="2211"/>
      <c r="P90" s="2555"/>
      <c r="Q90" s="2556"/>
      <c r="R90" s="2555"/>
      <c r="S90" s="2557"/>
      <c r="T90" s="2558" t="s">
        <v>228</v>
      </c>
      <c r="U90" s="2203"/>
      <c r="V90" s="2203"/>
      <c r="W90" s="2203"/>
      <c r="X90" s="2203"/>
      <c r="Y90" s="2203"/>
      <c r="Z90" s="2203"/>
      <c r="AA90" s="2203"/>
      <c r="AB90" s="2203"/>
      <c r="AC90" s="2203"/>
      <c r="AD90" s="2203"/>
      <c r="AE90" s="2203"/>
      <c r="AF90" s="2203"/>
      <c r="AG90" s="2203"/>
      <c r="AH90" s="2203"/>
      <c r="AI90" s="2203"/>
      <c r="AJ90" s="2203"/>
      <c r="AK90" s="2203"/>
      <c r="AL90" s="2203"/>
      <c r="AM90" s="2203"/>
      <c r="AN90" s="2203"/>
      <c r="AO90" s="2203"/>
      <c r="AP90" s="2203"/>
      <c r="AQ90" s="2203"/>
      <c r="AR90" s="2203"/>
      <c r="AS90" s="2203"/>
      <c r="AT90" s="2203"/>
      <c r="AU90" s="2203"/>
      <c r="AV90" s="2203"/>
      <c r="AW90" s="2203"/>
      <c r="AX90" s="2203"/>
      <c r="AY90" s="2203"/>
      <c r="AZ90" s="2203"/>
      <c r="BA90" s="2203"/>
      <c r="BB90" s="2203"/>
      <c r="BC90" s="2203"/>
      <c r="BD90" s="2203"/>
      <c r="BE90" s="2203"/>
      <c r="BF90" s="2203"/>
      <c r="BG90" s="2203"/>
      <c r="BH90" s="2203"/>
      <c r="BI90" s="2203"/>
      <c r="BJ90" s="2203"/>
      <c r="BK90" s="2203"/>
      <c r="BL90" s="2203"/>
      <c r="BM90" s="2203"/>
      <c r="BN90" s="2203"/>
      <c r="BO90" s="2203"/>
      <c r="BP90" s="2203"/>
      <c r="BQ90" s="2203"/>
      <c r="BR90" s="2203"/>
      <c r="BS90" s="2203"/>
      <c r="BT90" s="2203"/>
      <c r="BU90" s="2203"/>
      <c r="BV90" s="2203"/>
      <c r="BW90" s="2203"/>
      <c r="BX90" s="2203"/>
      <c r="BY90" s="2203"/>
      <c r="BZ90" s="2203"/>
      <c r="CA90" s="2203"/>
      <c r="CB90" s="2211"/>
      <c r="CC90" s="2345"/>
      <c r="CD90" s="2345" t="str">
        <f t="shared" si="2"/>
        <v>Добавить источник для дифференциации</v>
      </c>
      <c r="CE90" s="2345"/>
      <c r="CF90" s="2345"/>
    </row>
    <row r="91" spans="1:84" s="2952" customFormat="1" ht="0.75" customHeight="1">
      <c r="A91" s="2552"/>
      <c r="B91" s="2552"/>
      <c r="C91" s="2552"/>
      <c r="D91" s="2552"/>
      <c r="E91" s="6764"/>
      <c r="F91" s="6763" t="s">
        <v>89</v>
      </c>
      <c r="G91" s="2552"/>
      <c r="H91" s="2552"/>
      <c r="I91" s="2552"/>
      <c r="J91" s="2552"/>
      <c r="K91" s="2552"/>
      <c r="L91" s="2553"/>
      <c r="M91" s="2560"/>
      <c r="N91" s="2560"/>
      <c r="O91" s="2211"/>
      <c r="P91" s="2555"/>
      <c r="Q91" s="2556"/>
      <c r="R91" s="2555"/>
      <c r="S91" s="2561"/>
      <c r="T91" s="2562" t="s">
        <v>229</v>
      </c>
      <c r="U91" s="2204"/>
      <c r="V91" s="2204"/>
      <c r="W91" s="2204"/>
      <c r="X91" s="2204"/>
      <c r="Y91" s="2204"/>
      <c r="Z91" s="2204"/>
      <c r="AA91" s="2204"/>
      <c r="AB91" s="2204"/>
      <c r="AC91" s="2204"/>
      <c r="AD91" s="2204"/>
      <c r="AE91" s="2204"/>
      <c r="AF91" s="2204"/>
      <c r="AG91" s="2204"/>
      <c r="AH91" s="2204"/>
      <c r="AI91" s="2204"/>
      <c r="AJ91" s="2204"/>
      <c r="AK91" s="2204"/>
      <c r="AL91" s="2204"/>
      <c r="AM91" s="2204"/>
      <c r="AN91" s="2204"/>
      <c r="AO91" s="2204"/>
      <c r="AP91" s="2204"/>
      <c r="AQ91" s="2204"/>
      <c r="AR91" s="2204"/>
      <c r="AS91" s="2204"/>
      <c r="AT91" s="2204"/>
      <c r="AU91" s="2204"/>
      <c r="AV91" s="2204"/>
      <c r="AW91" s="2204"/>
      <c r="AX91" s="2204"/>
      <c r="AY91" s="2204"/>
      <c r="AZ91" s="2204"/>
      <c r="BA91" s="2204"/>
      <c r="BB91" s="2204"/>
      <c r="BC91" s="2204"/>
      <c r="BD91" s="2204"/>
      <c r="BE91" s="2204"/>
      <c r="BF91" s="2204"/>
      <c r="BG91" s="2204"/>
      <c r="BH91" s="2204"/>
      <c r="BI91" s="2204"/>
      <c r="BJ91" s="2204"/>
      <c r="BK91" s="2204"/>
      <c r="BL91" s="2204"/>
      <c r="BM91" s="2204"/>
      <c r="BN91" s="2204"/>
      <c r="BO91" s="2204"/>
      <c r="BP91" s="2204"/>
      <c r="BQ91" s="2204"/>
      <c r="BR91" s="2204"/>
      <c r="BS91" s="2204"/>
      <c r="BT91" s="2204"/>
      <c r="BU91" s="2204"/>
      <c r="BV91" s="2204"/>
      <c r="BW91" s="2204"/>
      <c r="BX91" s="2204"/>
      <c r="BY91" s="2204"/>
      <c r="BZ91" s="2204"/>
      <c r="CA91" s="2204"/>
      <c r="CB91" s="2211"/>
      <c r="CC91" s="2345"/>
      <c r="CD91" s="2345" t="str">
        <f t="shared" si="2"/>
        <v>Добавить централизованную систему для дифференциации</v>
      </c>
      <c r="CE91" s="2345"/>
      <c r="CF91" s="2345"/>
    </row>
    <row r="92" spans="1:84" s="2953" customFormat="1" ht="21" customHeight="1">
      <c r="A92" s="2335"/>
      <c r="B92" s="2335" t="s">
        <v>239</v>
      </c>
      <c r="C92" s="2335"/>
      <c r="D92" s="2335"/>
      <c r="E92" s="6764"/>
      <c r="F92" s="6763" t="s">
        <v>115</v>
      </c>
      <c r="G92" s="2335"/>
      <c r="H92" s="2335"/>
      <c r="I92" s="2335"/>
      <c r="J92" s="2335"/>
      <c r="K92" s="2335"/>
      <c r="L92" s="2336"/>
      <c r="M92" s="2337"/>
      <c r="N92" s="2337"/>
      <c r="O92" s="2337"/>
      <c r="P92" s="2338"/>
      <c r="Q92" s="2339"/>
      <c r="R92" s="2340"/>
      <c r="S92" s="2341" t="str">
        <f>INDEX(PT_DIFFERENTIATION_NUM_TER,MATCH(B92,PT_DIFFERENTIATION_TER_ID,0))</f>
        <v>1.5</v>
      </c>
      <c r="T92" s="2342" t="s">
        <v>517</v>
      </c>
      <c r="U92" s="2343"/>
      <c r="V92" s="6749"/>
      <c r="W92" s="6750"/>
      <c r="X92" s="6750"/>
      <c r="Y92" s="6750"/>
      <c r="Z92" s="6750"/>
      <c r="AA92" s="6750"/>
      <c r="AB92" s="6750"/>
      <c r="AC92" s="6751"/>
      <c r="AD92" s="6749" t="str">
        <f>INDEX(PT_DIFFERENTIATION_TER,MATCH(B92,PT_DIFFERENTIATION_TER_ID,0))</f>
        <v>Территория 4</v>
      </c>
      <c r="AE92" s="6750"/>
      <c r="AF92" s="6750"/>
      <c r="AG92" s="6750"/>
      <c r="AH92" s="6750"/>
      <c r="AI92" s="6750"/>
      <c r="AJ92" s="6750"/>
      <c r="AK92" s="6750"/>
      <c r="AL92" s="6749"/>
      <c r="AM92" s="6750"/>
      <c r="AN92" s="6750"/>
      <c r="AO92" s="6750"/>
      <c r="AP92" s="6750"/>
      <c r="AQ92" s="6750"/>
      <c r="AR92" s="6750"/>
      <c r="AS92" s="6751"/>
      <c r="AT92" s="6749"/>
      <c r="AU92" s="6750"/>
      <c r="AV92" s="6750"/>
      <c r="AW92" s="6750"/>
      <c r="AX92" s="6750"/>
      <c r="AY92" s="6750"/>
      <c r="AZ92" s="6750"/>
      <c r="BA92" s="6751"/>
      <c r="BB92" s="6749"/>
      <c r="BC92" s="6750"/>
      <c r="BD92" s="6750"/>
      <c r="BE92" s="6750"/>
      <c r="BF92" s="6750"/>
      <c r="BG92" s="6750"/>
      <c r="BH92" s="6750"/>
      <c r="BI92" s="6751"/>
      <c r="BJ92" s="6749"/>
      <c r="BK92" s="6750"/>
      <c r="BL92" s="6750"/>
      <c r="BM92" s="6750"/>
      <c r="BN92" s="6750"/>
      <c r="BO92" s="6750"/>
      <c r="BP92" s="6750"/>
      <c r="BQ92" s="6751"/>
      <c r="BR92" s="6749"/>
      <c r="BS92" s="6750"/>
      <c r="BT92" s="6750"/>
      <c r="BU92" s="6750"/>
      <c r="BV92" s="6750"/>
      <c r="BW92" s="6750"/>
      <c r="BX92" s="6750"/>
      <c r="BY92" s="6751"/>
      <c r="BZ92" s="6751"/>
      <c r="CA92" s="2344" t="s">
        <v>518</v>
      </c>
      <c r="CB92" s="2211"/>
      <c r="CC92" s="2345"/>
      <c r="CD92" s="2345" t="str">
        <f t="shared" si="2"/>
        <v>Территория действия тарифа</v>
      </c>
      <c r="CE92" s="2345"/>
      <c r="CF92" s="2345"/>
    </row>
    <row r="93" spans="1:84" s="2954" customFormat="1" ht="23.25" customHeight="1">
      <c r="A93" s="2335"/>
      <c r="B93" s="2335"/>
      <c r="C93" s="2335" t="s">
        <v>240</v>
      </c>
      <c r="D93" s="2335"/>
      <c r="E93" s="6764"/>
      <c r="F93" s="6764" t="s">
        <v>90</v>
      </c>
      <c r="G93" s="6763">
        <v>1</v>
      </c>
      <c r="H93" s="2335"/>
      <c r="I93" s="2335"/>
      <c r="J93" s="2335"/>
      <c r="K93" s="2335"/>
      <c r="L93" s="2336"/>
      <c r="M93" s="2337"/>
      <c r="N93" s="2337"/>
      <c r="O93" s="2337"/>
      <c r="P93" s="2347"/>
      <c r="Q93" s="2339"/>
      <c r="R93" s="2340"/>
      <c r="S93" s="2341" t="str">
        <f>INDEX(PT_DIFFERENTIATION_NUM_CS,MATCH(C93,PT_DIFFERENTIATION_CS_ID,0))</f>
        <v>1.5.1</v>
      </c>
      <c r="T93" s="2348" t="s">
        <v>519</v>
      </c>
      <c r="U93" s="2343"/>
      <c r="V93" s="6749"/>
      <c r="W93" s="6750"/>
      <c r="X93" s="6750"/>
      <c r="Y93" s="6750"/>
      <c r="Z93" s="6750"/>
      <c r="AA93" s="6750"/>
      <c r="AB93" s="6750"/>
      <c r="AC93" s="6751"/>
      <c r="AD93" s="6749" t="str">
        <f>INDEX(PT_DIFFERENTIATION_CS,MATCH(C93,PT_DIFFERENTIATION_CS_ID,0))</f>
        <v>без дифференциации</v>
      </c>
      <c r="AE93" s="6750"/>
      <c r="AF93" s="6750"/>
      <c r="AG93" s="6750"/>
      <c r="AH93" s="6750"/>
      <c r="AI93" s="6750"/>
      <c r="AJ93" s="6750"/>
      <c r="AK93" s="6750"/>
      <c r="AL93" s="6749"/>
      <c r="AM93" s="6750"/>
      <c r="AN93" s="6750"/>
      <c r="AO93" s="6750"/>
      <c r="AP93" s="6750"/>
      <c r="AQ93" s="6750"/>
      <c r="AR93" s="6750"/>
      <c r="AS93" s="6751"/>
      <c r="AT93" s="6749"/>
      <c r="AU93" s="6750"/>
      <c r="AV93" s="6750"/>
      <c r="AW93" s="6750"/>
      <c r="AX93" s="6750"/>
      <c r="AY93" s="6750"/>
      <c r="AZ93" s="6750"/>
      <c r="BA93" s="6751"/>
      <c r="BB93" s="6749"/>
      <c r="BC93" s="6750"/>
      <c r="BD93" s="6750"/>
      <c r="BE93" s="6750"/>
      <c r="BF93" s="6750"/>
      <c r="BG93" s="6750"/>
      <c r="BH93" s="6750"/>
      <c r="BI93" s="6751"/>
      <c r="BJ93" s="6749"/>
      <c r="BK93" s="6750"/>
      <c r="BL93" s="6750"/>
      <c r="BM93" s="6750"/>
      <c r="BN93" s="6750"/>
      <c r="BO93" s="6750"/>
      <c r="BP93" s="6750"/>
      <c r="BQ93" s="6751"/>
      <c r="BR93" s="6749"/>
      <c r="BS93" s="6750"/>
      <c r="BT93" s="6750"/>
      <c r="BU93" s="6750"/>
      <c r="BV93" s="6750"/>
      <c r="BW93" s="6750"/>
      <c r="BX93" s="6750"/>
      <c r="BY93" s="6751"/>
      <c r="BZ93" s="6751"/>
      <c r="CA93" s="2344" t="s">
        <v>520</v>
      </c>
      <c r="CB93" s="2211"/>
      <c r="CC93" s="2345"/>
      <c r="CD93" s="2345" t="str">
        <f t="shared" si="2"/>
        <v xml:space="preserve">Наименование системы теплоснабжения </v>
      </c>
      <c r="CE93" s="2345"/>
      <c r="CF93" s="2345"/>
    </row>
    <row r="94" spans="1:84" s="2955" customFormat="1" ht="21" customHeight="1">
      <c r="A94" s="2335"/>
      <c r="B94" s="2335"/>
      <c r="C94" s="2335"/>
      <c r="D94" s="2335" t="s">
        <v>241</v>
      </c>
      <c r="E94" s="6764"/>
      <c r="F94" s="6764" t="s">
        <v>90</v>
      </c>
      <c r="G94" s="6764"/>
      <c r="H94" s="6763">
        <v>1</v>
      </c>
      <c r="I94" s="2335"/>
      <c r="J94" s="2335"/>
      <c r="K94" s="2335"/>
      <c r="L94" s="2336"/>
      <c r="M94" s="2337"/>
      <c r="N94" s="2337"/>
      <c r="O94" s="2337"/>
      <c r="P94" s="2347"/>
      <c r="Q94" s="2339"/>
      <c r="R94" s="2340"/>
      <c r="S94" s="2341" t="str">
        <f>INDEX(PT_DIFFERENTIATION_NUM_IST_TE,MATCH(D94,PT_DIFFERENTIATION_IST_TE_ID,0))</f>
        <v>1.5.1.1</v>
      </c>
      <c r="T94" s="2350" t="s">
        <v>521</v>
      </c>
      <c r="U94" s="2343"/>
      <c r="V94" s="6749"/>
      <c r="W94" s="6750"/>
      <c r="X94" s="6750"/>
      <c r="Y94" s="6750"/>
      <c r="Z94" s="6750"/>
      <c r="AA94" s="6750"/>
      <c r="AB94" s="6750"/>
      <c r="AC94" s="6751"/>
      <c r="AD94" s="6749" t="str">
        <f>INDEX(PT_DIFFERENTIATION_IST_TE,MATCH(D94,PT_DIFFERENTIATION_IST_TE_ID,0))</f>
        <v>без дифференциации</v>
      </c>
      <c r="AE94" s="6750"/>
      <c r="AF94" s="6750"/>
      <c r="AG94" s="6750"/>
      <c r="AH94" s="6750"/>
      <c r="AI94" s="6750"/>
      <c r="AJ94" s="6750"/>
      <c r="AK94" s="6750"/>
      <c r="AL94" s="6749"/>
      <c r="AM94" s="6750"/>
      <c r="AN94" s="6750"/>
      <c r="AO94" s="6750"/>
      <c r="AP94" s="6750"/>
      <c r="AQ94" s="6750"/>
      <c r="AR94" s="6750"/>
      <c r="AS94" s="6751"/>
      <c r="AT94" s="6749"/>
      <c r="AU94" s="6750"/>
      <c r="AV94" s="6750"/>
      <c r="AW94" s="6750"/>
      <c r="AX94" s="6750"/>
      <c r="AY94" s="6750"/>
      <c r="AZ94" s="6750"/>
      <c r="BA94" s="6751"/>
      <c r="BB94" s="6749"/>
      <c r="BC94" s="6750"/>
      <c r="BD94" s="6750"/>
      <c r="BE94" s="6750"/>
      <c r="BF94" s="6750"/>
      <c r="BG94" s="6750"/>
      <c r="BH94" s="6750"/>
      <c r="BI94" s="6751"/>
      <c r="BJ94" s="6749"/>
      <c r="BK94" s="6750"/>
      <c r="BL94" s="6750"/>
      <c r="BM94" s="6750"/>
      <c r="BN94" s="6750"/>
      <c r="BO94" s="6750"/>
      <c r="BP94" s="6750"/>
      <c r="BQ94" s="6751"/>
      <c r="BR94" s="6749"/>
      <c r="BS94" s="6750"/>
      <c r="BT94" s="6750"/>
      <c r="BU94" s="6750"/>
      <c r="BV94" s="6750"/>
      <c r="BW94" s="6750"/>
      <c r="BX94" s="6750"/>
      <c r="BY94" s="6751"/>
      <c r="BZ94" s="6751"/>
      <c r="CA94" s="2344" t="s">
        <v>522</v>
      </c>
      <c r="CB94" s="2211"/>
      <c r="CC94" s="2345"/>
      <c r="CD94" s="2345" t="str">
        <f t="shared" si="2"/>
        <v xml:space="preserve">Источник тепловой энергии  </v>
      </c>
      <c r="CE94" s="2345"/>
      <c r="CF94" s="2345"/>
    </row>
    <row r="95" spans="1:84" s="2956" customFormat="1" ht="47.25" customHeight="1">
      <c r="A95" s="2335"/>
      <c r="B95" s="2335"/>
      <c r="C95" s="2335"/>
      <c r="D95" s="2335"/>
      <c r="E95" s="6764"/>
      <c r="F95" s="6764" t="s">
        <v>90</v>
      </c>
      <c r="G95" s="6764"/>
      <c r="H95" s="6764"/>
      <c r="I95" s="6761" t="str">
        <f>S94&amp;".1"</f>
        <v>1.5.1.1.1</v>
      </c>
      <c r="J95" s="2335"/>
      <c r="K95" s="2335"/>
      <c r="L95" s="2336" t="s">
        <v>523</v>
      </c>
      <c r="M95" s="2205"/>
      <c r="N95" s="2352"/>
      <c r="O95" s="2352"/>
      <c r="P95" s="6762">
        <v>1</v>
      </c>
      <c r="Q95" s="2353"/>
      <c r="R95" s="2354"/>
      <c r="S95" s="2341" t="str">
        <f>$I95</f>
        <v>1.5.1.1.1</v>
      </c>
      <c r="T95" s="2355" t="s">
        <v>524</v>
      </c>
      <c r="U95" s="2343"/>
      <c r="V95" s="6752"/>
      <c r="W95" s="6753"/>
      <c r="X95" s="6753"/>
      <c r="Y95" s="6753"/>
      <c r="Z95" s="6753"/>
      <c r="AA95" s="6753"/>
      <c r="AB95" s="6753"/>
      <c r="AC95" s="6754"/>
      <c r="AD95" s="6752" t="s">
        <v>566</v>
      </c>
      <c r="AE95" s="6753"/>
      <c r="AF95" s="6753"/>
      <c r="AG95" s="6753"/>
      <c r="AH95" s="6753"/>
      <c r="AI95" s="6753"/>
      <c r="AJ95" s="6753"/>
      <c r="AK95" s="6753"/>
      <c r="AL95" s="6752"/>
      <c r="AM95" s="6753"/>
      <c r="AN95" s="6753"/>
      <c r="AO95" s="6753"/>
      <c r="AP95" s="6753"/>
      <c r="AQ95" s="6753"/>
      <c r="AR95" s="6753"/>
      <c r="AS95" s="6754"/>
      <c r="AT95" s="6752"/>
      <c r="AU95" s="6753"/>
      <c r="AV95" s="6753"/>
      <c r="AW95" s="6753"/>
      <c r="AX95" s="6753"/>
      <c r="AY95" s="6753"/>
      <c r="AZ95" s="6753"/>
      <c r="BA95" s="6754"/>
      <c r="BB95" s="6752"/>
      <c r="BC95" s="6753"/>
      <c r="BD95" s="6753"/>
      <c r="BE95" s="6753"/>
      <c r="BF95" s="6753"/>
      <c r="BG95" s="6753"/>
      <c r="BH95" s="6753"/>
      <c r="BI95" s="6754"/>
      <c r="BJ95" s="6752"/>
      <c r="BK95" s="6753"/>
      <c r="BL95" s="6753"/>
      <c r="BM95" s="6753"/>
      <c r="BN95" s="6753"/>
      <c r="BO95" s="6753"/>
      <c r="BP95" s="6753"/>
      <c r="BQ95" s="6754"/>
      <c r="BR95" s="6752"/>
      <c r="BS95" s="6753"/>
      <c r="BT95" s="6753"/>
      <c r="BU95" s="6753"/>
      <c r="BV95" s="6753"/>
      <c r="BW95" s="6753"/>
      <c r="BX95" s="6753"/>
      <c r="BY95" s="6754"/>
      <c r="BZ95" s="6754"/>
      <c r="CA95" s="2344" t="s">
        <v>525</v>
      </c>
      <c r="CB95" s="2211"/>
      <c r="CC95" s="2345"/>
      <c r="CD95" s="2345" t="str">
        <f t="shared" si="2"/>
        <v>Схема подключения теплопотребляющей установки к коллектору источника тепловой энергии</v>
      </c>
      <c r="CE95" s="2345"/>
      <c r="CF95" s="2345"/>
    </row>
    <row r="96" spans="1:84" s="2957" customFormat="1" ht="21" customHeight="1">
      <c r="A96" s="2335"/>
      <c r="B96" s="2335"/>
      <c r="C96" s="2335"/>
      <c r="D96" s="2335"/>
      <c r="E96" s="6764"/>
      <c r="F96" s="6764" t="s">
        <v>90</v>
      </c>
      <c r="G96" s="6764"/>
      <c r="H96" s="6764"/>
      <c r="I96" s="6784"/>
      <c r="J96" s="6761" t="str">
        <f>I95&amp;".1"</f>
        <v>1.5.1.1.1.1</v>
      </c>
      <c r="K96" s="2335"/>
      <c r="L96" s="2336" t="s">
        <v>526</v>
      </c>
      <c r="M96" s="2205"/>
      <c r="N96" s="2205"/>
      <c r="O96" s="2352"/>
      <c r="P96" s="6762"/>
      <c r="Q96" s="6762">
        <v>1</v>
      </c>
      <c r="R96" s="2357"/>
      <c r="S96" s="2341" t="str">
        <f>$J96</f>
        <v>1.5.1.1.1.1</v>
      </c>
      <c r="T96" s="2358" t="s">
        <v>527</v>
      </c>
      <c r="U96" s="2343"/>
      <c r="V96" s="6752"/>
      <c r="W96" s="6753"/>
      <c r="X96" s="6753"/>
      <c r="Y96" s="6753"/>
      <c r="Z96" s="6753"/>
      <c r="AA96" s="6753"/>
      <c r="AB96" s="6753"/>
      <c r="AC96" s="6754"/>
      <c r="AD96" s="6752" t="s">
        <v>566</v>
      </c>
      <c r="AE96" s="6753"/>
      <c r="AF96" s="6753"/>
      <c r="AG96" s="6753"/>
      <c r="AH96" s="6753"/>
      <c r="AI96" s="6753"/>
      <c r="AJ96" s="6753"/>
      <c r="AK96" s="6753"/>
      <c r="AL96" s="6752"/>
      <c r="AM96" s="6753"/>
      <c r="AN96" s="6753"/>
      <c r="AO96" s="6753"/>
      <c r="AP96" s="6753"/>
      <c r="AQ96" s="6753"/>
      <c r="AR96" s="6753"/>
      <c r="AS96" s="6754"/>
      <c r="AT96" s="6752"/>
      <c r="AU96" s="6753"/>
      <c r="AV96" s="6753"/>
      <c r="AW96" s="6753"/>
      <c r="AX96" s="6753"/>
      <c r="AY96" s="6753"/>
      <c r="AZ96" s="6753"/>
      <c r="BA96" s="6754"/>
      <c r="BB96" s="6752"/>
      <c r="BC96" s="6753"/>
      <c r="BD96" s="6753"/>
      <c r="BE96" s="6753"/>
      <c r="BF96" s="6753"/>
      <c r="BG96" s="6753"/>
      <c r="BH96" s="6753"/>
      <c r="BI96" s="6754"/>
      <c r="BJ96" s="6752"/>
      <c r="BK96" s="6753"/>
      <c r="BL96" s="6753"/>
      <c r="BM96" s="6753"/>
      <c r="BN96" s="6753"/>
      <c r="BO96" s="6753"/>
      <c r="BP96" s="6753"/>
      <c r="BQ96" s="6754"/>
      <c r="BR96" s="6752"/>
      <c r="BS96" s="6753"/>
      <c r="BT96" s="6753"/>
      <c r="BU96" s="6753"/>
      <c r="BV96" s="6753"/>
      <c r="BW96" s="6753"/>
      <c r="BX96" s="6753"/>
      <c r="BY96" s="6754"/>
      <c r="BZ96" s="6754"/>
      <c r="CA96" s="2344" t="s">
        <v>528</v>
      </c>
      <c r="CB96" s="2211"/>
      <c r="CC96" s="2345"/>
      <c r="CD96" s="2345" t="str">
        <f t="shared" si="2"/>
        <v>Группа потребителей</v>
      </c>
      <c r="CE96" s="2345"/>
      <c r="CF96" s="2345"/>
    </row>
    <row r="97" spans="1:84" s="2958" customFormat="1" ht="21" customHeight="1">
      <c r="A97" s="2335"/>
      <c r="B97" s="2335"/>
      <c r="C97" s="2335"/>
      <c r="D97" s="2335"/>
      <c r="E97" s="6764"/>
      <c r="F97" s="6764" t="s">
        <v>90</v>
      </c>
      <c r="G97" s="6764"/>
      <c r="H97" s="6764"/>
      <c r="I97" s="6784"/>
      <c r="J97" s="6784"/>
      <c r="K97" s="6761" t="str">
        <f>J96&amp;".1"</f>
        <v>1.5.1.1.1.1.1</v>
      </c>
      <c r="L97" s="2336" t="s">
        <v>529</v>
      </c>
      <c r="M97" s="2205"/>
      <c r="N97" s="2205"/>
      <c r="O97" s="2205"/>
      <c r="P97" s="6762"/>
      <c r="Q97" s="6762"/>
      <c r="R97" s="2357">
        <v>1</v>
      </c>
      <c r="S97" s="2341" t="str">
        <f>$K97</f>
        <v>1.5.1.1.1.1.1</v>
      </c>
      <c r="T97" s="2360" t="s">
        <v>567</v>
      </c>
      <c r="U97" s="2343"/>
      <c r="V97" s="2763"/>
      <c r="W97" s="2763"/>
      <c r="X97" s="2763"/>
      <c r="Y97" s="2764"/>
      <c r="Z97" s="6768"/>
      <c r="AA97" s="6769" t="s">
        <v>61</v>
      </c>
      <c r="AB97" s="6768"/>
      <c r="AC97" s="6769" t="s">
        <v>61</v>
      </c>
      <c r="AD97" s="2078">
        <v>4564.08</v>
      </c>
      <c r="AE97" s="2079"/>
      <c r="AF97" s="2078"/>
      <c r="AG97" s="2080"/>
      <c r="AH97" s="6766">
        <v>45292.490335648145</v>
      </c>
      <c r="AI97" s="6610" t="s">
        <v>61</v>
      </c>
      <c r="AJ97" s="6766">
        <v>45838.490451388891</v>
      </c>
      <c r="AK97" s="6610" t="s">
        <v>61</v>
      </c>
      <c r="AL97" s="2078">
        <v>5073.49</v>
      </c>
      <c r="AM97" s="2079"/>
      <c r="AN97" s="2078"/>
      <c r="AO97" s="2080"/>
      <c r="AP97" s="6766">
        <v>45839.490682870368</v>
      </c>
      <c r="AQ97" s="6610" t="s">
        <v>61</v>
      </c>
      <c r="AR97" s="6766">
        <v>46203.490856481483</v>
      </c>
      <c r="AS97" s="6610" t="s">
        <v>61</v>
      </c>
      <c r="AT97" s="2078">
        <v>5244.02</v>
      </c>
      <c r="AU97" s="2079"/>
      <c r="AV97" s="2078"/>
      <c r="AW97" s="2080"/>
      <c r="AX97" s="6766">
        <v>46204.49113425926</v>
      </c>
      <c r="AY97" s="6610" t="s">
        <v>61</v>
      </c>
      <c r="AZ97" s="6766">
        <v>46568.491319444445</v>
      </c>
      <c r="BA97" s="6610" t="s">
        <v>61</v>
      </c>
      <c r="BB97" s="2078">
        <v>5415.39</v>
      </c>
      <c r="BC97" s="2079"/>
      <c r="BD97" s="2078"/>
      <c r="BE97" s="2080"/>
      <c r="BF97" s="6766">
        <v>46569.491585648146</v>
      </c>
      <c r="BG97" s="6610" t="s">
        <v>61</v>
      </c>
      <c r="BH97" s="6766">
        <v>46934.491793981484</v>
      </c>
      <c r="BI97" s="6610" t="s">
        <v>61</v>
      </c>
      <c r="BJ97" s="2078">
        <v>5592.39</v>
      </c>
      <c r="BK97" s="2079"/>
      <c r="BL97" s="2078"/>
      <c r="BM97" s="2080"/>
      <c r="BN97" s="6766">
        <v>46935.492083333331</v>
      </c>
      <c r="BO97" s="6610" t="s">
        <v>61</v>
      </c>
      <c r="BP97" s="6766">
        <v>47118.492245370369</v>
      </c>
      <c r="BQ97" s="6610" t="s">
        <v>56</v>
      </c>
      <c r="BR97" s="2763"/>
      <c r="BS97" s="2763"/>
      <c r="BT97" s="2763"/>
      <c r="BU97" s="2764"/>
      <c r="BV97" s="6768"/>
      <c r="BW97" s="6769" t="s">
        <v>61</v>
      </c>
      <c r="BX97" s="6768"/>
      <c r="BY97" s="6769" t="s">
        <v>61</v>
      </c>
      <c r="BZ97" s="2079"/>
      <c r="CA97" s="6758" t="s">
        <v>530</v>
      </c>
      <c r="CB97" s="2211" t="e">
        <f ca="1">STRCHECKDATE(V98:BZ98)</f>
        <v>#NAME?</v>
      </c>
      <c r="CC97" s="2345"/>
      <c r="CD97" s="2345" t="str">
        <f t="shared" si="2"/>
        <v>вода</v>
      </c>
      <c r="CE97" s="2345"/>
      <c r="CF97" s="2345"/>
    </row>
    <row r="98" spans="1:84" s="2959" customFormat="1" ht="0.75" customHeight="1">
      <c r="A98" s="2335"/>
      <c r="B98" s="2335"/>
      <c r="C98" s="2335"/>
      <c r="D98" s="2335"/>
      <c r="E98" s="6764"/>
      <c r="F98" s="6764" t="s">
        <v>90</v>
      </c>
      <c r="G98" s="6764"/>
      <c r="H98" s="6764"/>
      <c r="I98" s="6784"/>
      <c r="J98" s="6784"/>
      <c r="K98" s="6761"/>
      <c r="L98" s="2336"/>
      <c r="M98" s="2205"/>
      <c r="N98" s="2205"/>
      <c r="O98" s="2205"/>
      <c r="P98" s="6762"/>
      <c r="Q98" s="6762"/>
      <c r="R98" s="2357"/>
      <c r="S98" s="2362"/>
      <c r="T98" s="2343"/>
      <c r="U98" s="2343"/>
      <c r="V98" s="2763"/>
      <c r="W98" s="2763"/>
      <c r="X98" s="2763"/>
      <c r="Y98" s="2082" t="str">
        <f>Z97&amp;"-"&amp;AB97</f>
        <v>-</v>
      </c>
      <c r="Z98" s="6769"/>
      <c r="AA98" s="6769"/>
      <c r="AB98" s="6769"/>
      <c r="AC98" s="6769"/>
      <c r="AD98" s="2079"/>
      <c r="AE98" s="2079"/>
      <c r="AF98" s="2079"/>
      <c r="AG98" s="2082" t="str">
        <f>AH97&amp;"-"&amp;AJ97</f>
        <v>45292,4903356481-45838,4904513889</v>
      </c>
      <c r="AH98" s="6767"/>
      <c r="AI98" s="6610"/>
      <c r="AJ98" s="6767"/>
      <c r="AK98" s="6610"/>
      <c r="AL98" s="2079"/>
      <c r="AM98" s="2079"/>
      <c r="AN98" s="2079"/>
      <c r="AO98" s="2082" t="str">
        <f>AP97&amp;"-"&amp;AR97</f>
        <v>45839,4906828704-46203,4908564814</v>
      </c>
      <c r="AP98" s="6767"/>
      <c r="AQ98" s="6610"/>
      <c r="AR98" s="6767"/>
      <c r="AS98" s="6610"/>
      <c r="AT98" s="2079"/>
      <c r="AU98" s="2079"/>
      <c r="AV98" s="2079"/>
      <c r="AW98" s="2082" t="str">
        <f>AX97&amp;"-"&amp;AZ97</f>
        <v>46204,4911342593-46568,4913194444</v>
      </c>
      <c r="AX98" s="6767"/>
      <c r="AY98" s="6610"/>
      <c r="AZ98" s="6767"/>
      <c r="BA98" s="6610"/>
      <c r="BB98" s="2079"/>
      <c r="BC98" s="2079"/>
      <c r="BD98" s="2079"/>
      <c r="BE98" s="2082" t="str">
        <f>BF97&amp;"-"&amp;BH97</f>
        <v>46569,4915856481-46934,4917939815</v>
      </c>
      <c r="BF98" s="6767"/>
      <c r="BG98" s="6610"/>
      <c r="BH98" s="6767"/>
      <c r="BI98" s="6610"/>
      <c r="BJ98" s="2079"/>
      <c r="BK98" s="2079"/>
      <c r="BL98" s="2079"/>
      <c r="BM98" s="2082" t="str">
        <f>BN97&amp;"-"&amp;BP97</f>
        <v>46935,4920833333-47118,4922453704</v>
      </c>
      <c r="BN98" s="6767"/>
      <c r="BO98" s="6610"/>
      <c r="BP98" s="6767"/>
      <c r="BQ98" s="6610"/>
      <c r="BR98" s="2763"/>
      <c r="BS98" s="2763"/>
      <c r="BT98" s="2763"/>
      <c r="BU98" s="2082" t="str">
        <f>BV97&amp;"-"&amp;BX97</f>
        <v>-</v>
      </c>
      <c r="BV98" s="6769"/>
      <c r="BW98" s="6769"/>
      <c r="BX98" s="6769"/>
      <c r="BY98" s="6769"/>
      <c r="BZ98" s="2079"/>
      <c r="CA98" s="6759"/>
      <c r="CB98" s="2211"/>
      <c r="CC98" s="2345"/>
      <c r="CD98" s="2345" t="str">
        <f t="shared" si="2"/>
        <v/>
      </c>
      <c r="CE98" s="2345"/>
      <c r="CF98" s="2345"/>
    </row>
    <row r="99" spans="1:84" s="2960" customFormat="1" ht="15" customHeight="1">
      <c r="A99" s="2335"/>
      <c r="B99" s="2335"/>
      <c r="C99" s="2335"/>
      <c r="D99" s="2335"/>
      <c r="E99" s="6764"/>
      <c r="F99" s="6764" t="s">
        <v>90</v>
      </c>
      <c r="G99" s="6764"/>
      <c r="H99" s="6764"/>
      <c r="I99" s="6784"/>
      <c r="J99" s="6761"/>
      <c r="K99" s="2335"/>
      <c r="L99" s="2336"/>
      <c r="M99" s="2205"/>
      <c r="N99" s="2205"/>
      <c r="O99" s="2352"/>
      <c r="P99" s="6762"/>
      <c r="Q99" s="6762"/>
      <c r="R99" s="2354"/>
      <c r="S99" s="2961"/>
      <c r="T99" s="2962" t="s">
        <v>531</v>
      </c>
      <c r="U99" s="2963"/>
      <c r="V99" s="2964"/>
      <c r="W99" s="2965"/>
      <c r="X99" s="2966"/>
      <c r="Y99" s="2967"/>
      <c r="Z99" s="2968"/>
      <c r="AA99" s="2969"/>
      <c r="AB99" s="2970"/>
      <c r="AC99" s="2971"/>
      <c r="AD99" s="2972"/>
      <c r="AE99" s="2973"/>
      <c r="AF99" s="2974"/>
      <c r="AG99" s="2975"/>
      <c r="AH99" s="2976"/>
      <c r="AI99" s="2977"/>
      <c r="AJ99" s="2978"/>
      <c r="AK99" s="2979"/>
      <c r="AL99" s="2980"/>
      <c r="AM99" s="2981"/>
      <c r="AN99" s="2982"/>
      <c r="AO99" s="2983"/>
      <c r="AP99" s="2984"/>
      <c r="AQ99" s="2985"/>
      <c r="AR99" s="2986"/>
      <c r="AS99" s="2987"/>
      <c r="AT99" s="2988"/>
      <c r="AU99" s="2989"/>
      <c r="AV99" s="2990"/>
      <c r="AW99" s="2991"/>
      <c r="AX99" s="2992"/>
      <c r="AY99" s="2993"/>
      <c r="AZ99" s="2994"/>
      <c r="BA99" s="2995"/>
      <c r="BB99" s="2996"/>
      <c r="BC99" s="2997"/>
      <c r="BD99" s="2998"/>
      <c r="BE99" s="2999"/>
      <c r="BF99" s="3000"/>
      <c r="BG99" s="3001"/>
      <c r="BH99" s="3002"/>
      <c r="BI99" s="3003"/>
      <c r="BJ99" s="3004"/>
      <c r="BK99" s="3005"/>
      <c r="BL99" s="3006"/>
      <c r="BM99" s="3007"/>
      <c r="BN99" s="3008"/>
      <c r="BO99" s="3009"/>
      <c r="BP99" s="3010"/>
      <c r="BQ99" s="3011"/>
      <c r="BR99" s="3012"/>
      <c r="BS99" s="3013"/>
      <c r="BT99" s="3014"/>
      <c r="BU99" s="3015"/>
      <c r="BV99" s="3016"/>
      <c r="BW99" s="3017"/>
      <c r="BX99" s="3018"/>
      <c r="BY99" s="3019"/>
      <c r="BZ99" s="3020"/>
      <c r="CA99" s="6760"/>
      <c r="CB99" s="2211"/>
      <c r="CC99" s="2345"/>
      <c r="CD99" s="2345" t="str">
        <f t="shared" si="2"/>
        <v>Добавить вид теплоносителя (параметры теплоносителя)</v>
      </c>
      <c r="CE99" s="2345"/>
      <c r="CF99" s="2345"/>
    </row>
    <row r="100" spans="1:84" s="3021" customFormat="1" ht="15" customHeight="1">
      <c r="A100" s="2335"/>
      <c r="B100" s="2335"/>
      <c r="C100" s="2335"/>
      <c r="D100" s="2335"/>
      <c r="E100" s="6764"/>
      <c r="F100" s="6764" t="s">
        <v>90</v>
      </c>
      <c r="G100" s="6764"/>
      <c r="H100" s="6764"/>
      <c r="I100" s="6761"/>
      <c r="J100" s="2335"/>
      <c r="K100" s="2335"/>
      <c r="L100" s="2336"/>
      <c r="M100" s="2205"/>
      <c r="N100" s="2352"/>
      <c r="O100" s="2352"/>
      <c r="P100" s="6762"/>
      <c r="Q100" s="2353"/>
      <c r="R100" s="2354"/>
      <c r="S100" s="3022"/>
      <c r="T100" s="3023" t="s">
        <v>532</v>
      </c>
      <c r="U100" s="3024"/>
      <c r="V100" s="3025"/>
      <c r="W100" s="3026"/>
      <c r="X100" s="3027"/>
      <c r="Y100" s="3028"/>
      <c r="Z100" s="3029"/>
      <c r="AA100" s="3030"/>
      <c r="AB100" s="3031"/>
      <c r="AC100" s="3032"/>
      <c r="AD100" s="3033"/>
      <c r="AE100" s="3034"/>
      <c r="AF100" s="3035"/>
      <c r="AG100" s="3036"/>
      <c r="AH100" s="3037"/>
      <c r="AI100" s="3038"/>
      <c r="AJ100" s="3039"/>
      <c r="AK100" s="3040"/>
      <c r="AL100" s="3041"/>
      <c r="AM100" s="3042"/>
      <c r="AN100" s="3043"/>
      <c r="AO100" s="3044"/>
      <c r="AP100" s="3045"/>
      <c r="AQ100" s="3046"/>
      <c r="AR100" s="3047"/>
      <c r="AS100" s="3048"/>
      <c r="AT100" s="3049"/>
      <c r="AU100" s="3050"/>
      <c r="AV100" s="3051"/>
      <c r="AW100" s="3052"/>
      <c r="AX100" s="3053"/>
      <c r="AY100" s="3054"/>
      <c r="AZ100" s="3055"/>
      <c r="BA100" s="3056"/>
      <c r="BB100" s="3057"/>
      <c r="BC100" s="3058"/>
      <c r="BD100" s="3059"/>
      <c r="BE100" s="3060"/>
      <c r="BF100" s="3061"/>
      <c r="BG100" s="3062"/>
      <c r="BH100" s="3063"/>
      <c r="BI100" s="3064"/>
      <c r="BJ100" s="3065"/>
      <c r="BK100" s="3066"/>
      <c r="BL100" s="3067"/>
      <c r="BM100" s="3068"/>
      <c r="BN100" s="3069"/>
      <c r="BO100" s="3070"/>
      <c r="BP100" s="3071"/>
      <c r="BQ100" s="3072"/>
      <c r="BR100" s="3073"/>
      <c r="BS100" s="3074"/>
      <c r="BT100" s="3075"/>
      <c r="BU100" s="3076"/>
      <c r="BV100" s="3077"/>
      <c r="BW100" s="3078"/>
      <c r="BX100" s="3079"/>
      <c r="BY100" s="3080"/>
      <c r="BZ100" s="3081"/>
      <c r="CA100" s="3082"/>
      <c r="CB100" s="2211"/>
      <c r="CC100" s="2345"/>
      <c r="CD100" s="2345" t="str">
        <f t="shared" si="2"/>
        <v>Добавить группу потребителей</v>
      </c>
      <c r="CE100" s="2345"/>
      <c r="CF100" s="2345"/>
    </row>
    <row r="101" spans="1:84" s="3083" customFormat="1" ht="14.25" customHeight="1">
      <c r="A101" s="2335"/>
      <c r="B101" s="2335"/>
      <c r="C101" s="2335"/>
      <c r="D101" s="2335"/>
      <c r="E101" s="6764"/>
      <c r="F101" s="6764" t="s">
        <v>90</v>
      </c>
      <c r="G101" s="6764"/>
      <c r="H101" s="6763"/>
      <c r="I101" s="2335"/>
      <c r="J101" s="2335"/>
      <c r="K101" s="2335"/>
      <c r="L101" s="2336"/>
      <c r="M101" s="2337"/>
      <c r="N101" s="2337"/>
      <c r="O101" s="2205"/>
      <c r="P101" s="2487"/>
      <c r="Q101" s="2488"/>
      <c r="R101" s="2489"/>
      <c r="S101" s="3084"/>
      <c r="T101" s="3085" t="s">
        <v>533</v>
      </c>
      <c r="U101" s="3086"/>
      <c r="V101" s="3087"/>
      <c r="W101" s="3088"/>
      <c r="X101" s="3089"/>
      <c r="Y101" s="3090"/>
      <c r="Z101" s="3091"/>
      <c r="AA101" s="3092"/>
      <c r="AB101" s="3093"/>
      <c r="AC101" s="3094"/>
      <c r="AD101" s="3095"/>
      <c r="AE101" s="3096"/>
      <c r="AF101" s="3097"/>
      <c r="AG101" s="3098"/>
      <c r="AH101" s="3099"/>
      <c r="AI101" s="3100"/>
      <c r="AJ101" s="3101"/>
      <c r="AK101" s="3102"/>
      <c r="AL101" s="3103"/>
      <c r="AM101" s="3104"/>
      <c r="AN101" s="3105"/>
      <c r="AO101" s="3106"/>
      <c r="AP101" s="3107"/>
      <c r="AQ101" s="3108"/>
      <c r="AR101" s="3109"/>
      <c r="AS101" s="3110"/>
      <c r="AT101" s="3111"/>
      <c r="AU101" s="3112"/>
      <c r="AV101" s="3113"/>
      <c r="AW101" s="3114"/>
      <c r="AX101" s="3115"/>
      <c r="AY101" s="3116"/>
      <c r="AZ101" s="3117"/>
      <c r="BA101" s="3118"/>
      <c r="BB101" s="3119"/>
      <c r="BC101" s="3120"/>
      <c r="BD101" s="3121"/>
      <c r="BE101" s="3122"/>
      <c r="BF101" s="3123"/>
      <c r="BG101" s="3124"/>
      <c r="BH101" s="3125"/>
      <c r="BI101" s="3126"/>
      <c r="BJ101" s="3127"/>
      <c r="BK101" s="3128"/>
      <c r="BL101" s="3129"/>
      <c r="BM101" s="3130"/>
      <c r="BN101" s="3131"/>
      <c r="BO101" s="3132"/>
      <c r="BP101" s="3133"/>
      <c r="BQ101" s="3134"/>
      <c r="BR101" s="3135"/>
      <c r="BS101" s="3136"/>
      <c r="BT101" s="3137"/>
      <c r="BU101" s="3138"/>
      <c r="BV101" s="3139"/>
      <c r="BW101" s="3140"/>
      <c r="BX101" s="3141"/>
      <c r="BY101" s="3142"/>
      <c r="BZ101" s="3143"/>
      <c r="CA101" s="3144"/>
      <c r="CB101" s="2211"/>
      <c r="CC101" s="2345"/>
      <c r="CD101" s="2345" t="str">
        <f t="shared" si="2"/>
        <v>Добавить схему подключения</v>
      </c>
      <c r="CE101" s="2345"/>
      <c r="CF101" s="2345"/>
    </row>
    <row r="102" spans="1:84" s="3145" customFormat="1" ht="0.75" customHeight="1">
      <c r="A102" s="2552"/>
      <c r="B102" s="2552"/>
      <c r="C102" s="2552"/>
      <c r="D102" s="2552"/>
      <c r="E102" s="6764"/>
      <c r="F102" s="6764" t="s">
        <v>90</v>
      </c>
      <c r="G102" s="6763"/>
      <c r="H102" s="2552"/>
      <c r="I102" s="2552"/>
      <c r="J102" s="2552"/>
      <c r="K102" s="2552"/>
      <c r="L102" s="2553"/>
      <c r="M102" s="2554"/>
      <c r="N102" s="2554"/>
      <c r="O102" s="2211"/>
      <c r="P102" s="2555"/>
      <c r="Q102" s="2556"/>
      <c r="R102" s="2555"/>
      <c r="S102" s="2557"/>
      <c r="T102" s="2558" t="s">
        <v>228</v>
      </c>
      <c r="U102" s="2203"/>
      <c r="V102" s="2203"/>
      <c r="W102" s="2203"/>
      <c r="X102" s="2203"/>
      <c r="Y102" s="2203"/>
      <c r="Z102" s="2203"/>
      <c r="AA102" s="2203"/>
      <c r="AB102" s="2203"/>
      <c r="AC102" s="2203"/>
      <c r="AD102" s="2203"/>
      <c r="AE102" s="2203"/>
      <c r="AF102" s="2203"/>
      <c r="AG102" s="2203"/>
      <c r="AH102" s="2203"/>
      <c r="AI102" s="2203"/>
      <c r="AJ102" s="2203"/>
      <c r="AK102" s="2203"/>
      <c r="AL102" s="2203"/>
      <c r="AM102" s="2203"/>
      <c r="AN102" s="2203"/>
      <c r="AO102" s="2203"/>
      <c r="AP102" s="2203"/>
      <c r="AQ102" s="2203"/>
      <c r="AR102" s="2203"/>
      <c r="AS102" s="2203"/>
      <c r="AT102" s="2203"/>
      <c r="AU102" s="2203"/>
      <c r="AV102" s="2203"/>
      <c r="AW102" s="2203"/>
      <c r="AX102" s="2203"/>
      <c r="AY102" s="2203"/>
      <c r="AZ102" s="2203"/>
      <c r="BA102" s="2203"/>
      <c r="BB102" s="2203"/>
      <c r="BC102" s="2203"/>
      <c r="BD102" s="2203"/>
      <c r="BE102" s="2203"/>
      <c r="BF102" s="2203"/>
      <c r="BG102" s="2203"/>
      <c r="BH102" s="2203"/>
      <c r="BI102" s="2203"/>
      <c r="BJ102" s="2203"/>
      <c r="BK102" s="2203"/>
      <c r="BL102" s="2203"/>
      <c r="BM102" s="2203"/>
      <c r="BN102" s="2203"/>
      <c r="BO102" s="2203"/>
      <c r="BP102" s="2203"/>
      <c r="BQ102" s="2203"/>
      <c r="BR102" s="2203"/>
      <c r="BS102" s="2203"/>
      <c r="BT102" s="2203"/>
      <c r="BU102" s="2203"/>
      <c r="BV102" s="2203"/>
      <c r="BW102" s="2203"/>
      <c r="BX102" s="2203"/>
      <c r="BY102" s="2203"/>
      <c r="BZ102" s="2203"/>
      <c r="CA102" s="2203"/>
      <c r="CB102" s="2211"/>
      <c r="CC102" s="2345"/>
      <c r="CD102" s="2345" t="str">
        <f t="shared" si="2"/>
        <v>Добавить источник для дифференциации</v>
      </c>
      <c r="CE102" s="2345"/>
      <c r="CF102" s="2345"/>
    </row>
    <row r="103" spans="1:84" s="3146" customFormat="1" ht="0.75" customHeight="1">
      <c r="A103" s="2552"/>
      <c r="B103" s="2552"/>
      <c r="C103" s="2552"/>
      <c r="D103" s="2552"/>
      <c r="E103" s="6764"/>
      <c r="F103" s="6763" t="s">
        <v>90</v>
      </c>
      <c r="G103" s="2552"/>
      <c r="H103" s="2552"/>
      <c r="I103" s="2552"/>
      <c r="J103" s="2552"/>
      <c r="K103" s="2552"/>
      <c r="L103" s="2553"/>
      <c r="M103" s="2560"/>
      <c r="N103" s="2560"/>
      <c r="O103" s="2211"/>
      <c r="P103" s="2555"/>
      <c r="Q103" s="2556"/>
      <c r="R103" s="2555"/>
      <c r="S103" s="2561"/>
      <c r="T103" s="2562" t="s">
        <v>229</v>
      </c>
      <c r="U103" s="2204"/>
      <c r="V103" s="2204"/>
      <c r="W103" s="2204"/>
      <c r="X103" s="2204"/>
      <c r="Y103" s="2204"/>
      <c r="Z103" s="2204"/>
      <c r="AA103" s="2204"/>
      <c r="AB103" s="2204"/>
      <c r="AC103" s="2204"/>
      <c r="AD103" s="2204"/>
      <c r="AE103" s="2204"/>
      <c r="AF103" s="2204"/>
      <c r="AG103" s="2204"/>
      <c r="AH103" s="2204"/>
      <c r="AI103" s="2204"/>
      <c r="AJ103" s="2204"/>
      <c r="AK103" s="2204"/>
      <c r="AL103" s="2204"/>
      <c r="AM103" s="2204"/>
      <c r="AN103" s="2204"/>
      <c r="AO103" s="2204"/>
      <c r="AP103" s="2204"/>
      <c r="AQ103" s="2204"/>
      <c r="AR103" s="2204"/>
      <c r="AS103" s="2204"/>
      <c r="AT103" s="2204"/>
      <c r="AU103" s="2204"/>
      <c r="AV103" s="2204"/>
      <c r="AW103" s="2204"/>
      <c r="AX103" s="2204"/>
      <c r="AY103" s="2204"/>
      <c r="AZ103" s="2204"/>
      <c r="BA103" s="2204"/>
      <c r="BB103" s="2204"/>
      <c r="BC103" s="2204"/>
      <c r="BD103" s="2204"/>
      <c r="BE103" s="2204"/>
      <c r="BF103" s="2204"/>
      <c r="BG103" s="2204"/>
      <c r="BH103" s="2204"/>
      <c r="BI103" s="2204"/>
      <c r="BJ103" s="2204"/>
      <c r="BK103" s="2204"/>
      <c r="BL103" s="2204"/>
      <c r="BM103" s="2204"/>
      <c r="BN103" s="2204"/>
      <c r="BO103" s="2204"/>
      <c r="BP103" s="2204"/>
      <c r="BQ103" s="2204"/>
      <c r="BR103" s="2204"/>
      <c r="BS103" s="2204"/>
      <c r="BT103" s="2204"/>
      <c r="BU103" s="2204"/>
      <c r="BV103" s="2204"/>
      <c r="BW103" s="2204"/>
      <c r="BX103" s="2204"/>
      <c r="BY103" s="2204"/>
      <c r="BZ103" s="2204"/>
      <c r="CA103" s="2204"/>
      <c r="CB103" s="2211"/>
      <c r="CC103" s="2345"/>
      <c r="CD103" s="2345" t="str">
        <f t="shared" si="2"/>
        <v>Добавить централизованную систему для дифференциации</v>
      </c>
      <c r="CE103" s="2345"/>
      <c r="CF103" s="2345"/>
    </row>
    <row r="104" spans="1:84" s="3147" customFormat="1" ht="21" customHeight="1">
      <c r="A104" s="2335"/>
      <c r="B104" s="2335" t="s">
        <v>242</v>
      </c>
      <c r="C104" s="2335"/>
      <c r="D104" s="2335"/>
      <c r="E104" s="6764"/>
      <c r="F104" s="6763" t="s">
        <v>91</v>
      </c>
      <c r="G104" s="2335"/>
      <c r="H104" s="2335"/>
      <c r="I104" s="2335"/>
      <c r="J104" s="2335"/>
      <c r="K104" s="2335"/>
      <c r="L104" s="2336"/>
      <c r="M104" s="2337"/>
      <c r="N104" s="2337"/>
      <c r="O104" s="2337"/>
      <c r="P104" s="2338"/>
      <c r="Q104" s="2339"/>
      <c r="R104" s="2340"/>
      <c r="S104" s="2341" t="str">
        <f>INDEX(PT_DIFFERENTIATION_NUM_TER,MATCH(B104,PT_DIFFERENTIATION_TER_ID,0))</f>
        <v>1.6</v>
      </c>
      <c r="T104" s="2342" t="s">
        <v>517</v>
      </c>
      <c r="U104" s="2343"/>
      <c r="V104" s="6749"/>
      <c r="W104" s="6750"/>
      <c r="X104" s="6750"/>
      <c r="Y104" s="6750"/>
      <c r="Z104" s="6750"/>
      <c r="AA104" s="6750"/>
      <c r="AB104" s="6750"/>
      <c r="AC104" s="6751"/>
      <c r="AD104" s="6749" t="str">
        <f>INDEX(PT_DIFFERENTIATION_TER,MATCH(B104,PT_DIFFERENTIATION_TER_ID,0))</f>
        <v>Территория 5</v>
      </c>
      <c r="AE104" s="6750"/>
      <c r="AF104" s="6750"/>
      <c r="AG104" s="6750"/>
      <c r="AH104" s="6750"/>
      <c r="AI104" s="6750"/>
      <c r="AJ104" s="6750"/>
      <c r="AK104" s="6750"/>
      <c r="AL104" s="6749"/>
      <c r="AM104" s="6750"/>
      <c r="AN104" s="6750"/>
      <c r="AO104" s="6750"/>
      <c r="AP104" s="6750"/>
      <c r="AQ104" s="6750"/>
      <c r="AR104" s="6750"/>
      <c r="AS104" s="6751"/>
      <c r="AT104" s="6749"/>
      <c r="AU104" s="6750"/>
      <c r="AV104" s="6750"/>
      <c r="AW104" s="6750"/>
      <c r="AX104" s="6750"/>
      <c r="AY104" s="6750"/>
      <c r="AZ104" s="6750"/>
      <c r="BA104" s="6751"/>
      <c r="BB104" s="6749"/>
      <c r="BC104" s="6750"/>
      <c r="BD104" s="6750"/>
      <c r="BE104" s="6750"/>
      <c r="BF104" s="6750"/>
      <c r="BG104" s="6750"/>
      <c r="BH104" s="6750"/>
      <c r="BI104" s="6751"/>
      <c r="BJ104" s="6749"/>
      <c r="BK104" s="6750"/>
      <c r="BL104" s="6750"/>
      <c r="BM104" s="6750"/>
      <c r="BN104" s="6750"/>
      <c r="BO104" s="6750"/>
      <c r="BP104" s="6750"/>
      <c r="BQ104" s="6751"/>
      <c r="BR104" s="6749"/>
      <c r="BS104" s="6750"/>
      <c r="BT104" s="6750"/>
      <c r="BU104" s="6750"/>
      <c r="BV104" s="6750"/>
      <c r="BW104" s="6750"/>
      <c r="BX104" s="6750"/>
      <c r="BY104" s="6751"/>
      <c r="BZ104" s="6751"/>
      <c r="CA104" s="2344" t="s">
        <v>518</v>
      </c>
      <c r="CB104" s="2211"/>
      <c r="CC104" s="2345"/>
      <c r="CD104" s="2345" t="str">
        <f t="shared" si="2"/>
        <v>Территория действия тарифа</v>
      </c>
      <c r="CE104" s="2345"/>
      <c r="CF104" s="2345"/>
    </row>
    <row r="105" spans="1:84" s="3148" customFormat="1" ht="23.25" customHeight="1">
      <c r="A105" s="2335"/>
      <c r="B105" s="2335"/>
      <c r="C105" s="2335" t="s">
        <v>243</v>
      </c>
      <c r="D105" s="2335"/>
      <c r="E105" s="6764"/>
      <c r="F105" s="6764" t="s">
        <v>115</v>
      </c>
      <c r="G105" s="6763">
        <v>1</v>
      </c>
      <c r="H105" s="2335"/>
      <c r="I105" s="2335"/>
      <c r="J105" s="2335"/>
      <c r="K105" s="2335"/>
      <c r="L105" s="2336"/>
      <c r="M105" s="2337"/>
      <c r="N105" s="2337"/>
      <c r="O105" s="2337"/>
      <c r="P105" s="2347"/>
      <c r="Q105" s="2339"/>
      <c r="R105" s="2340"/>
      <c r="S105" s="2341" t="str">
        <f>INDEX(PT_DIFFERENTIATION_NUM_CS,MATCH(C105,PT_DIFFERENTIATION_CS_ID,0))</f>
        <v>1.6.1</v>
      </c>
      <c r="T105" s="2348" t="s">
        <v>519</v>
      </c>
      <c r="U105" s="2343"/>
      <c r="V105" s="6749"/>
      <c r="W105" s="6750"/>
      <c r="X105" s="6750"/>
      <c r="Y105" s="6750"/>
      <c r="Z105" s="6750"/>
      <c r="AA105" s="6750"/>
      <c r="AB105" s="6750"/>
      <c r="AC105" s="6751"/>
      <c r="AD105" s="6749" t="str">
        <f>INDEX(PT_DIFFERENTIATION_CS,MATCH(C105,PT_DIFFERENTIATION_CS_ID,0))</f>
        <v>без дифференциации</v>
      </c>
      <c r="AE105" s="6750"/>
      <c r="AF105" s="6750"/>
      <c r="AG105" s="6750"/>
      <c r="AH105" s="6750"/>
      <c r="AI105" s="6750"/>
      <c r="AJ105" s="6750"/>
      <c r="AK105" s="6750"/>
      <c r="AL105" s="6749"/>
      <c r="AM105" s="6750"/>
      <c r="AN105" s="6750"/>
      <c r="AO105" s="6750"/>
      <c r="AP105" s="6750"/>
      <c r="AQ105" s="6750"/>
      <c r="AR105" s="6750"/>
      <c r="AS105" s="6751"/>
      <c r="AT105" s="6749"/>
      <c r="AU105" s="6750"/>
      <c r="AV105" s="6750"/>
      <c r="AW105" s="6750"/>
      <c r="AX105" s="6750"/>
      <c r="AY105" s="6750"/>
      <c r="AZ105" s="6750"/>
      <c r="BA105" s="6751"/>
      <c r="BB105" s="6749"/>
      <c r="BC105" s="6750"/>
      <c r="BD105" s="6750"/>
      <c r="BE105" s="6750"/>
      <c r="BF105" s="6750"/>
      <c r="BG105" s="6750"/>
      <c r="BH105" s="6750"/>
      <c r="BI105" s="6751"/>
      <c r="BJ105" s="6749"/>
      <c r="BK105" s="6750"/>
      <c r="BL105" s="6750"/>
      <c r="BM105" s="6750"/>
      <c r="BN105" s="6750"/>
      <c r="BO105" s="6750"/>
      <c r="BP105" s="6750"/>
      <c r="BQ105" s="6751"/>
      <c r="BR105" s="6749"/>
      <c r="BS105" s="6750"/>
      <c r="BT105" s="6750"/>
      <c r="BU105" s="6750"/>
      <c r="BV105" s="6750"/>
      <c r="BW105" s="6750"/>
      <c r="BX105" s="6750"/>
      <c r="BY105" s="6751"/>
      <c r="BZ105" s="6751"/>
      <c r="CA105" s="2344" t="s">
        <v>520</v>
      </c>
      <c r="CB105" s="2211"/>
      <c r="CC105" s="2345"/>
      <c r="CD105" s="2345" t="str">
        <f t="shared" si="2"/>
        <v xml:space="preserve">Наименование системы теплоснабжения </v>
      </c>
      <c r="CE105" s="2345"/>
      <c r="CF105" s="2345"/>
    </row>
    <row r="106" spans="1:84" s="3149" customFormat="1" ht="21" customHeight="1">
      <c r="A106" s="2335"/>
      <c r="B106" s="2335"/>
      <c r="C106" s="2335"/>
      <c r="D106" s="2335" t="s">
        <v>244</v>
      </c>
      <c r="E106" s="6764"/>
      <c r="F106" s="6764" t="s">
        <v>115</v>
      </c>
      <c r="G106" s="6764"/>
      <c r="H106" s="6763">
        <v>1</v>
      </c>
      <c r="I106" s="2335"/>
      <c r="J106" s="2335"/>
      <c r="K106" s="2335"/>
      <c r="L106" s="2336"/>
      <c r="M106" s="2337"/>
      <c r="N106" s="2337"/>
      <c r="O106" s="2337"/>
      <c r="P106" s="2347"/>
      <c r="Q106" s="2339"/>
      <c r="R106" s="2340"/>
      <c r="S106" s="2341" t="str">
        <f>INDEX(PT_DIFFERENTIATION_NUM_IST_TE,MATCH(D106,PT_DIFFERENTIATION_IST_TE_ID,0))</f>
        <v>1.6.1.1</v>
      </c>
      <c r="T106" s="2350" t="s">
        <v>521</v>
      </c>
      <c r="U106" s="2343"/>
      <c r="V106" s="6749"/>
      <c r="W106" s="6750"/>
      <c r="X106" s="6750"/>
      <c r="Y106" s="6750"/>
      <c r="Z106" s="6750"/>
      <c r="AA106" s="6750"/>
      <c r="AB106" s="6750"/>
      <c r="AC106" s="6751"/>
      <c r="AD106" s="6749" t="str">
        <f>INDEX(PT_DIFFERENTIATION_IST_TE,MATCH(D106,PT_DIFFERENTIATION_IST_TE_ID,0))</f>
        <v>без дифференциации</v>
      </c>
      <c r="AE106" s="6750"/>
      <c r="AF106" s="6750"/>
      <c r="AG106" s="6750"/>
      <c r="AH106" s="6750"/>
      <c r="AI106" s="6750"/>
      <c r="AJ106" s="6750"/>
      <c r="AK106" s="6750"/>
      <c r="AL106" s="6749"/>
      <c r="AM106" s="6750"/>
      <c r="AN106" s="6750"/>
      <c r="AO106" s="6750"/>
      <c r="AP106" s="6750"/>
      <c r="AQ106" s="6750"/>
      <c r="AR106" s="6750"/>
      <c r="AS106" s="6751"/>
      <c r="AT106" s="6749"/>
      <c r="AU106" s="6750"/>
      <c r="AV106" s="6750"/>
      <c r="AW106" s="6750"/>
      <c r="AX106" s="6750"/>
      <c r="AY106" s="6750"/>
      <c r="AZ106" s="6750"/>
      <c r="BA106" s="6751"/>
      <c r="BB106" s="6749"/>
      <c r="BC106" s="6750"/>
      <c r="BD106" s="6750"/>
      <c r="BE106" s="6750"/>
      <c r="BF106" s="6750"/>
      <c r="BG106" s="6750"/>
      <c r="BH106" s="6750"/>
      <c r="BI106" s="6751"/>
      <c r="BJ106" s="6749"/>
      <c r="BK106" s="6750"/>
      <c r="BL106" s="6750"/>
      <c r="BM106" s="6750"/>
      <c r="BN106" s="6750"/>
      <c r="BO106" s="6750"/>
      <c r="BP106" s="6750"/>
      <c r="BQ106" s="6751"/>
      <c r="BR106" s="6749"/>
      <c r="BS106" s="6750"/>
      <c r="BT106" s="6750"/>
      <c r="BU106" s="6750"/>
      <c r="BV106" s="6750"/>
      <c r="BW106" s="6750"/>
      <c r="BX106" s="6750"/>
      <c r="BY106" s="6751"/>
      <c r="BZ106" s="6751"/>
      <c r="CA106" s="2344" t="s">
        <v>522</v>
      </c>
      <c r="CB106" s="2211"/>
      <c r="CC106" s="2345"/>
      <c r="CD106" s="2345" t="str">
        <f t="shared" si="2"/>
        <v xml:space="preserve">Источник тепловой энергии  </v>
      </c>
      <c r="CE106" s="2345"/>
      <c r="CF106" s="2345"/>
    </row>
    <row r="107" spans="1:84" s="3150" customFormat="1" ht="47.25" customHeight="1">
      <c r="A107" s="2335"/>
      <c r="B107" s="2335"/>
      <c r="C107" s="2335"/>
      <c r="D107" s="2335"/>
      <c r="E107" s="6764"/>
      <c r="F107" s="6764" t="s">
        <v>115</v>
      </c>
      <c r="G107" s="6764"/>
      <c r="H107" s="6764"/>
      <c r="I107" s="6761" t="str">
        <f>S106&amp;".1"</f>
        <v>1.6.1.1.1</v>
      </c>
      <c r="J107" s="2335"/>
      <c r="K107" s="2335"/>
      <c r="L107" s="2336" t="s">
        <v>523</v>
      </c>
      <c r="M107" s="2205"/>
      <c r="N107" s="2352"/>
      <c r="O107" s="2352"/>
      <c r="P107" s="6762">
        <v>1</v>
      </c>
      <c r="Q107" s="2353"/>
      <c r="R107" s="2354"/>
      <c r="S107" s="2341" t="str">
        <f>$I107</f>
        <v>1.6.1.1.1</v>
      </c>
      <c r="T107" s="2355" t="s">
        <v>524</v>
      </c>
      <c r="U107" s="2343"/>
      <c r="V107" s="6752"/>
      <c r="W107" s="6753"/>
      <c r="X107" s="6753"/>
      <c r="Y107" s="6753"/>
      <c r="Z107" s="6753"/>
      <c r="AA107" s="6753"/>
      <c r="AB107" s="6753"/>
      <c r="AC107" s="6754"/>
      <c r="AD107" s="6752" t="s">
        <v>566</v>
      </c>
      <c r="AE107" s="6753"/>
      <c r="AF107" s="6753"/>
      <c r="AG107" s="6753"/>
      <c r="AH107" s="6753"/>
      <c r="AI107" s="6753"/>
      <c r="AJ107" s="6753"/>
      <c r="AK107" s="6753"/>
      <c r="AL107" s="6752"/>
      <c r="AM107" s="6753"/>
      <c r="AN107" s="6753"/>
      <c r="AO107" s="6753"/>
      <c r="AP107" s="6753"/>
      <c r="AQ107" s="6753"/>
      <c r="AR107" s="6753"/>
      <c r="AS107" s="6754"/>
      <c r="AT107" s="6752"/>
      <c r="AU107" s="6753"/>
      <c r="AV107" s="6753"/>
      <c r="AW107" s="6753"/>
      <c r="AX107" s="6753"/>
      <c r="AY107" s="6753"/>
      <c r="AZ107" s="6753"/>
      <c r="BA107" s="6754"/>
      <c r="BB107" s="6752"/>
      <c r="BC107" s="6753"/>
      <c r="BD107" s="6753"/>
      <c r="BE107" s="6753"/>
      <c r="BF107" s="6753"/>
      <c r="BG107" s="6753"/>
      <c r="BH107" s="6753"/>
      <c r="BI107" s="6754"/>
      <c r="BJ107" s="6752"/>
      <c r="BK107" s="6753"/>
      <c r="BL107" s="6753"/>
      <c r="BM107" s="6753"/>
      <c r="BN107" s="6753"/>
      <c r="BO107" s="6753"/>
      <c r="BP107" s="6753"/>
      <c r="BQ107" s="6754"/>
      <c r="BR107" s="6752"/>
      <c r="BS107" s="6753"/>
      <c r="BT107" s="6753"/>
      <c r="BU107" s="6753"/>
      <c r="BV107" s="6753"/>
      <c r="BW107" s="6753"/>
      <c r="BX107" s="6753"/>
      <c r="BY107" s="6754"/>
      <c r="BZ107" s="6754"/>
      <c r="CA107" s="2344" t="s">
        <v>525</v>
      </c>
      <c r="CB107" s="2211"/>
      <c r="CC107" s="2345"/>
      <c r="CD107" s="2345" t="str">
        <f t="shared" ref="CD107:CD138" si="3">IF(T107="","",T107)</f>
        <v>Схема подключения теплопотребляющей установки к коллектору источника тепловой энергии</v>
      </c>
      <c r="CE107" s="2345"/>
      <c r="CF107" s="2345"/>
    </row>
    <row r="108" spans="1:84" s="3151" customFormat="1" ht="21" customHeight="1">
      <c r="A108" s="2335"/>
      <c r="B108" s="2335"/>
      <c r="C108" s="2335"/>
      <c r="D108" s="2335"/>
      <c r="E108" s="6764"/>
      <c r="F108" s="6764" t="s">
        <v>115</v>
      </c>
      <c r="G108" s="6764"/>
      <c r="H108" s="6764"/>
      <c r="I108" s="6784"/>
      <c r="J108" s="6761" t="str">
        <f>I107&amp;".1"</f>
        <v>1.6.1.1.1.1</v>
      </c>
      <c r="K108" s="2335"/>
      <c r="L108" s="2336" t="s">
        <v>526</v>
      </c>
      <c r="M108" s="2205"/>
      <c r="N108" s="2205"/>
      <c r="O108" s="2352"/>
      <c r="P108" s="6762"/>
      <c r="Q108" s="6762">
        <v>1</v>
      </c>
      <c r="R108" s="2357"/>
      <c r="S108" s="2341" t="str">
        <f>$J108</f>
        <v>1.6.1.1.1.1</v>
      </c>
      <c r="T108" s="2358" t="s">
        <v>527</v>
      </c>
      <c r="U108" s="2343"/>
      <c r="V108" s="6752"/>
      <c r="W108" s="6753"/>
      <c r="X108" s="6753"/>
      <c r="Y108" s="6753"/>
      <c r="Z108" s="6753"/>
      <c r="AA108" s="6753"/>
      <c r="AB108" s="6753"/>
      <c r="AC108" s="6754"/>
      <c r="AD108" s="6752" t="s">
        <v>566</v>
      </c>
      <c r="AE108" s="6753"/>
      <c r="AF108" s="6753"/>
      <c r="AG108" s="6753"/>
      <c r="AH108" s="6753"/>
      <c r="AI108" s="6753"/>
      <c r="AJ108" s="6753"/>
      <c r="AK108" s="6753"/>
      <c r="AL108" s="6752"/>
      <c r="AM108" s="6753"/>
      <c r="AN108" s="6753"/>
      <c r="AO108" s="6753"/>
      <c r="AP108" s="6753"/>
      <c r="AQ108" s="6753"/>
      <c r="AR108" s="6753"/>
      <c r="AS108" s="6754"/>
      <c r="AT108" s="6752"/>
      <c r="AU108" s="6753"/>
      <c r="AV108" s="6753"/>
      <c r="AW108" s="6753"/>
      <c r="AX108" s="6753"/>
      <c r="AY108" s="6753"/>
      <c r="AZ108" s="6753"/>
      <c r="BA108" s="6754"/>
      <c r="BB108" s="6752"/>
      <c r="BC108" s="6753"/>
      <c r="BD108" s="6753"/>
      <c r="BE108" s="6753"/>
      <c r="BF108" s="6753"/>
      <c r="BG108" s="6753"/>
      <c r="BH108" s="6753"/>
      <c r="BI108" s="6754"/>
      <c r="BJ108" s="6752"/>
      <c r="BK108" s="6753"/>
      <c r="BL108" s="6753"/>
      <c r="BM108" s="6753"/>
      <c r="BN108" s="6753"/>
      <c r="BO108" s="6753"/>
      <c r="BP108" s="6753"/>
      <c r="BQ108" s="6754"/>
      <c r="BR108" s="6752"/>
      <c r="BS108" s="6753"/>
      <c r="BT108" s="6753"/>
      <c r="BU108" s="6753"/>
      <c r="BV108" s="6753"/>
      <c r="BW108" s="6753"/>
      <c r="BX108" s="6753"/>
      <c r="BY108" s="6754"/>
      <c r="BZ108" s="6754"/>
      <c r="CA108" s="2344" t="s">
        <v>528</v>
      </c>
      <c r="CB108" s="2211"/>
      <c r="CC108" s="2345"/>
      <c r="CD108" s="2345" t="str">
        <f t="shared" si="3"/>
        <v>Группа потребителей</v>
      </c>
      <c r="CE108" s="2345"/>
      <c r="CF108" s="2345"/>
    </row>
    <row r="109" spans="1:84" s="3152" customFormat="1" ht="21" customHeight="1">
      <c r="A109" s="2335"/>
      <c r="B109" s="2335"/>
      <c r="C109" s="2335"/>
      <c r="D109" s="2335"/>
      <c r="E109" s="6764"/>
      <c r="F109" s="6764" t="s">
        <v>115</v>
      </c>
      <c r="G109" s="6764"/>
      <c r="H109" s="6764"/>
      <c r="I109" s="6784"/>
      <c r="J109" s="6784"/>
      <c r="K109" s="6761" t="str">
        <f>J108&amp;".1"</f>
        <v>1.6.1.1.1.1.1</v>
      </c>
      <c r="L109" s="2336" t="s">
        <v>529</v>
      </c>
      <c r="M109" s="2205"/>
      <c r="N109" s="2205"/>
      <c r="O109" s="2205"/>
      <c r="P109" s="6762"/>
      <c r="Q109" s="6762"/>
      <c r="R109" s="2357">
        <v>1</v>
      </c>
      <c r="S109" s="2341" t="str">
        <f>$K109</f>
        <v>1.6.1.1.1.1.1</v>
      </c>
      <c r="T109" s="2360" t="s">
        <v>567</v>
      </c>
      <c r="U109" s="2343"/>
      <c r="V109" s="2763"/>
      <c r="W109" s="2763"/>
      <c r="X109" s="2763"/>
      <c r="Y109" s="2764"/>
      <c r="Z109" s="6768"/>
      <c r="AA109" s="6769" t="s">
        <v>61</v>
      </c>
      <c r="AB109" s="6768"/>
      <c r="AC109" s="6769" t="s">
        <v>61</v>
      </c>
      <c r="AD109" s="2078">
        <v>2656.9</v>
      </c>
      <c r="AE109" s="2079"/>
      <c r="AF109" s="2078"/>
      <c r="AG109" s="2080"/>
      <c r="AH109" s="6766">
        <v>45292.492962962962</v>
      </c>
      <c r="AI109" s="6610" t="s">
        <v>61</v>
      </c>
      <c r="AJ109" s="6766">
        <v>45838.493067129632</v>
      </c>
      <c r="AK109" s="6610" t="s">
        <v>61</v>
      </c>
      <c r="AL109" s="2078">
        <v>2934.69</v>
      </c>
      <c r="AM109" s="2079"/>
      <c r="AN109" s="2078"/>
      <c r="AO109" s="2080"/>
      <c r="AP109" s="6766">
        <v>45839.493425925924</v>
      </c>
      <c r="AQ109" s="6610" t="s">
        <v>61</v>
      </c>
      <c r="AR109" s="6766">
        <v>46203.493541666663</v>
      </c>
      <c r="AS109" s="6610" t="s">
        <v>61</v>
      </c>
      <c r="AT109" s="2078">
        <v>3082.36</v>
      </c>
      <c r="AU109" s="2079"/>
      <c r="AV109" s="2078"/>
      <c r="AW109" s="2080"/>
      <c r="AX109" s="6766">
        <v>46204.509641203702</v>
      </c>
      <c r="AY109" s="6610" t="s">
        <v>61</v>
      </c>
      <c r="AZ109" s="6766">
        <v>46568.509814814817</v>
      </c>
      <c r="BA109" s="6610" t="s">
        <v>61</v>
      </c>
      <c r="BB109" s="2078">
        <v>3183.55</v>
      </c>
      <c r="BC109" s="2079"/>
      <c r="BD109" s="2078"/>
      <c r="BE109" s="2080"/>
      <c r="BF109" s="6766">
        <v>46569.510185185187</v>
      </c>
      <c r="BG109" s="6610" t="s">
        <v>61</v>
      </c>
      <c r="BH109" s="6766">
        <v>46934.510555555556</v>
      </c>
      <c r="BI109" s="6610" t="s">
        <v>61</v>
      </c>
      <c r="BJ109" s="2078">
        <v>3288.28</v>
      </c>
      <c r="BK109" s="2079"/>
      <c r="BL109" s="2078"/>
      <c r="BM109" s="2080"/>
      <c r="BN109" s="6766">
        <v>46935.512789351851</v>
      </c>
      <c r="BO109" s="6610" t="s">
        <v>61</v>
      </c>
      <c r="BP109" s="6766">
        <v>47118.512986111113</v>
      </c>
      <c r="BQ109" s="6610" t="s">
        <v>56</v>
      </c>
      <c r="BR109" s="2763"/>
      <c r="BS109" s="2763"/>
      <c r="BT109" s="2763"/>
      <c r="BU109" s="2764"/>
      <c r="BV109" s="6768"/>
      <c r="BW109" s="6769" t="s">
        <v>61</v>
      </c>
      <c r="BX109" s="6768"/>
      <c r="BY109" s="6769" t="s">
        <v>61</v>
      </c>
      <c r="BZ109" s="2079"/>
      <c r="CA109" s="6758" t="s">
        <v>530</v>
      </c>
      <c r="CB109" s="2211" t="e">
        <f ca="1">STRCHECKDATE(V110:BZ110)</f>
        <v>#NAME?</v>
      </c>
      <c r="CC109" s="2345"/>
      <c r="CD109" s="2345" t="str">
        <f t="shared" si="3"/>
        <v>вода</v>
      </c>
      <c r="CE109" s="2345"/>
      <c r="CF109" s="2345"/>
    </row>
    <row r="110" spans="1:84" s="3153" customFormat="1" ht="0.75" customHeight="1">
      <c r="A110" s="2335"/>
      <c r="B110" s="2335"/>
      <c r="C110" s="2335"/>
      <c r="D110" s="2335"/>
      <c r="E110" s="6764"/>
      <c r="F110" s="6764" t="s">
        <v>115</v>
      </c>
      <c r="G110" s="6764"/>
      <c r="H110" s="6764"/>
      <c r="I110" s="6784"/>
      <c r="J110" s="6784"/>
      <c r="K110" s="6761"/>
      <c r="L110" s="2336"/>
      <c r="M110" s="2205"/>
      <c r="N110" s="2205"/>
      <c r="O110" s="2205"/>
      <c r="P110" s="6762"/>
      <c r="Q110" s="6762"/>
      <c r="R110" s="2357"/>
      <c r="S110" s="2362"/>
      <c r="T110" s="2343"/>
      <c r="U110" s="2343"/>
      <c r="V110" s="2763"/>
      <c r="W110" s="2763"/>
      <c r="X110" s="2763"/>
      <c r="Y110" s="2082" t="str">
        <f>Z109&amp;"-"&amp;AB109</f>
        <v>-</v>
      </c>
      <c r="Z110" s="6769"/>
      <c r="AA110" s="6769"/>
      <c r="AB110" s="6769"/>
      <c r="AC110" s="6769"/>
      <c r="AD110" s="2079"/>
      <c r="AE110" s="2079"/>
      <c r="AF110" s="2079"/>
      <c r="AG110" s="2082" t="str">
        <f>AH109&amp;"-"&amp;AJ109</f>
        <v>45292,492962963-45838,4930671296</v>
      </c>
      <c r="AH110" s="6767"/>
      <c r="AI110" s="6610"/>
      <c r="AJ110" s="6767"/>
      <c r="AK110" s="6610"/>
      <c r="AL110" s="2079"/>
      <c r="AM110" s="2079"/>
      <c r="AN110" s="2079"/>
      <c r="AO110" s="2082" t="str">
        <f>AP109&amp;"-"&amp;AR109</f>
        <v>45839,4934259259-46203,4935416667</v>
      </c>
      <c r="AP110" s="6767"/>
      <c r="AQ110" s="6610"/>
      <c r="AR110" s="6767"/>
      <c r="AS110" s="6610"/>
      <c r="AT110" s="2079"/>
      <c r="AU110" s="2079"/>
      <c r="AV110" s="2079"/>
      <c r="AW110" s="2082" t="str">
        <f>AX109&amp;"-"&amp;AZ109</f>
        <v>46204,5096412037-46568,5098148148</v>
      </c>
      <c r="AX110" s="6767"/>
      <c r="AY110" s="6610"/>
      <c r="AZ110" s="6767"/>
      <c r="BA110" s="6610"/>
      <c r="BB110" s="2079"/>
      <c r="BC110" s="2079"/>
      <c r="BD110" s="2079"/>
      <c r="BE110" s="2082" t="str">
        <f>BF109&amp;"-"&amp;BH109</f>
        <v>46569,5101851852-46934,5105555556</v>
      </c>
      <c r="BF110" s="6767"/>
      <c r="BG110" s="6610"/>
      <c r="BH110" s="6767"/>
      <c r="BI110" s="6610"/>
      <c r="BJ110" s="2079"/>
      <c r="BK110" s="2079"/>
      <c r="BL110" s="2079"/>
      <c r="BM110" s="2082" t="str">
        <f>BN109&amp;"-"&amp;BP109</f>
        <v>46935,5127893519-47118,5129861111</v>
      </c>
      <c r="BN110" s="6767"/>
      <c r="BO110" s="6610"/>
      <c r="BP110" s="6767"/>
      <c r="BQ110" s="6610"/>
      <c r="BR110" s="2763"/>
      <c r="BS110" s="2763"/>
      <c r="BT110" s="2763"/>
      <c r="BU110" s="2082" t="str">
        <f>BV109&amp;"-"&amp;BX109</f>
        <v>-</v>
      </c>
      <c r="BV110" s="6769"/>
      <c r="BW110" s="6769"/>
      <c r="BX110" s="6769"/>
      <c r="BY110" s="6769"/>
      <c r="BZ110" s="2079"/>
      <c r="CA110" s="6759"/>
      <c r="CB110" s="2211"/>
      <c r="CC110" s="2345"/>
      <c r="CD110" s="2345" t="str">
        <f t="shared" si="3"/>
        <v/>
      </c>
      <c r="CE110" s="2345"/>
      <c r="CF110" s="2345"/>
    </row>
    <row r="111" spans="1:84" s="3154" customFormat="1" ht="15" customHeight="1">
      <c r="A111" s="2335"/>
      <c r="B111" s="2335"/>
      <c r="C111" s="2335"/>
      <c r="D111" s="2335"/>
      <c r="E111" s="6764"/>
      <c r="F111" s="6764" t="s">
        <v>115</v>
      </c>
      <c r="G111" s="6764"/>
      <c r="H111" s="6764"/>
      <c r="I111" s="6784"/>
      <c r="J111" s="6761"/>
      <c r="K111" s="2335"/>
      <c r="L111" s="2336"/>
      <c r="M111" s="2205"/>
      <c r="N111" s="2205"/>
      <c r="O111" s="2352"/>
      <c r="P111" s="6762"/>
      <c r="Q111" s="6762"/>
      <c r="R111" s="2354"/>
      <c r="S111" s="3155"/>
      <c r="T111" s="3156" t="s">
        <v>531</v>
      </c>
      <c r="U111" s="3157"/>
      <c r="V111" s="3158"/>
      <c r="W111" s="3159"/>
      <c r="X111" s="3160"/>
      <c r="Y111" s="3161"/>
      <c r="Z111" s="3162"/>
      <c r="AA111" s="3163"/>
      <c r="AB111" s="3164"/>
      <c r="AC111" s="3165"/>
      <c r="AD111" s="3166"/>
      <c r="AE111" s="3167"/>
      <c r="AF111" s="3168"/>
      <c r="AG111" s="3169"/>
      <c r="AH111" s="3170"/>
      <c r="AI111" s="3171"/>
      <c r="AJ111" s="3172"/>
      <c r="AK111" s="3173"/>
      <c r="AL111" s="3174"/>
      <c r="AM111" s="3175"/>
      <c r="AN111" s="3176"/>
      <c r="AO111" s="3177"/>
      <c r="AP111" s="3178"/>
      <c r="AQ111" s="3179"/>
      <c r="AR111" s="3180"/>
      <c r="AS111" s="3181"/>
      <c r="AT111" s="3182"/>
      <c r="AU111" s="3183"/>
      <c r="AV111" s="3184"/>
      <c r="AW111" s="3185"/>
      <c r="AX111" s="3186"/>
      <c r="AY111" s="3187"/>
      <c r="AZ111" s="3188"/>
      <c r="BA111" s="3189"/>
      <c r="BB111" s="3190"/>
      <c r="BC111" s="3191"/>
      <c r="BD111" s="3192"/>
      <c r="BE111" s="3193"/>
      <c r="BF111" s="3194"/>
      <c r="BG111" s="3195"/>
      <c r="BH111" s="3196"/>
      <c r="BI111" s="3197"/>
      <c r="BJ111" s="3198"/>
      <c r="BK111" s="3199"/>
      <c r="BL111" s="3200"/>
      <c r="BM111" s="3201"/>
      <c r="BN111" s="3202"/>
      <c r="BO111" s="3203"/>
      <c r="BP111" s="3204"/>
      <c r="BQ111" s="3205"/>
      <c r="BR111" s="3206"/>
      <c r="BS111" s="3207"/>
      <c r="BT111" s="3208"/>
      <c r="BU111" s="3209"/>
      <c r="BV111" s="3210"/>
      <c r="BW111" s="3211"/>
      <c r="BX111" s="3212"/>
      <c r="BY111" s="3213"/>
      <c r="BZ111" s="3214"/>
      <c r="CA111" s="6760"/>
      <c r="CB111" s="2211"/>
      <c r="CC111" s="2345"/>
      <c r="CD111" s="2345" t="str">
        <f t="shared" si="3"/>
        <v>Добавить вид теплоносителя (параметры теплоносителя)</v>
      </c>
      <c r="CE111" s="2345"/>
      <c r="CF111" s="2345"/>
    </row>
    <row r="112" spans="1:84" s="3215" customFormat="1" ht="15" customHeight="1">
      <c r="A112" s="2335"/>
      <c r="B112" s="2335"/>
      <c r="C112" s="2335"/>
      <c r="D112" s="2335"/>
      <c r="E112" s="6764"/>
      <c r="F112" s="6764" t="s">
        <v>115</v>
      </c>
      <c r="G112" s="6764"/>
      <c r="H112" s="6764"/>
      <c r="I112" s="6761"/>
      <c r="J112" s="2335"/>
      <c r="K112" s="2335"/>
      <c r="L112" s="2336"/>
      <c r="M112" s="2205"/>
      <c r="N112" s="2352"/>
      <c r="O112" s="2352"/>
      <c r="P112" s="6762"/>
      <c r="Q112" s="2353"/>
      <c r="R112" s="2354"/>
      <c r="S112" s="3216"/>
      <c r="T112" s="3217" t="s">
        <v>532</v>
      </c>
      <c r="U112" s="3218"/>
      <c r="V112" s="3219"/>
      <c r="W112" s="3220"/>
      <c r="X112" s="3221"/>
      <c r="Y112" s="3222"/>
      <c r="Z112" s="3223"/>
      <c r="AA112" s="3224"/>
      <c r="AB112" s="3225"/>
      <c r="AC112" s="3226"/>
      <c r="AD112" s="3227"/>
      <c r="AE112" s="3228"/>
      <c r="AF112" s="3229"/>
      <c r="AG112" s="3230"/>
      <c r="AH112" s="3231"/>
      <c r="AI112" s="3232"/>
      <c r="AJ112" s="3233"/>
      <c r="AK112" s="3234"/>
      <c r="AL112" s="3235"/>
      <c r="AM112" s="3236"/>
      <c r="AN112" s="3237"/>
      <c r="AO112" s="3238"/>
      <c r="AP112" s="3239"/>
      <c r="AQ112" s="3240"/>
      <c r="AR112" s="3241"/>
      <c r="AS112" s="3242"/>
      <c r="AT112" s="3243"/>
      <c r="AU112" s="3244"/>
      <c r="AV112" s="3245"/>
      <c r="AW112" s="3246"/>
      <c r="AX112" s="3247"/>
      <c r="AY112" s="3248"/>
      <c r="AZ112" s="3249"/>
      <c r="BA112" s="3250"/>
      <c r="BB112" s="3251"/>
      <c r="BC112" s="3252"/>
      <c r="BD112" s="3253"/>
      <c r="BE112" s="3254"/>
      <c r="BF112" s="3255"/>
      <c r="BG112" s="3256"/>
      <c r="BH112" s="3257"/>
      <c r="BI112" s="3258"/>
      <c r="BJ112" s="3259"/>
      <c r="BK112" s="3260"/>
      <c r="BL112" s="3261"/>
      <c r="BM112" s="3262"/>
      <c r="BN112" s="3263"/>
      <c r="BO112" s="3264"/>
      <c r="BP112" s="3265"/>
      <c r="BQ112" s="3266"/>
      <c r="BR112" s="3267"/>
      <c r="BS112" s="3268"/>
      <c r="BT112" s="3269"/>
      <c r="BU112" s="3270"/>
      <c r="BV112" s="3271"/>
      <c r="BW112" s="3272"/>
      <c r="BX112" s="3273"/>
      <c r="BY112" s="3274"/>
      <c r="BZ112" s="3275"/>
      <c r="CA112" s="3276"/>
      <c r="CB112" s="2211"/>
      <c r="CC112" s="2345"/>
      <c r="CD112" s="2345" t="str">
        <f t="shared" si="3"/>
        <v>Добавить группу потребителей</v>
      </c>
      <c r="CE112" s="2345"/>
      <c r="CF112" s="2345"/>
    </row>
    <row r="113" spans="1:84" s="3277" customFormat="1" ht="14.25" customHeight="1">
      <c r="A113" s="2335"/>
      <c r="B113" s="2335"/>
      <c r="C113" s="2335"/>
      <c r="D113" s="2335"/>
      <c r="E113" s="6764"/>
      <c r="F113" s="6764" t="s">
        <v>115</v>
      </c>
      <c r="G113" s="6764"/>
      <c r="H113" s="6763"/>
      <c r="I113" s="2335"/>
      <c r="J113" s="2335"/>
      <c r="K113" s="2335"/>
      <c r="L113" s="2336"/>
      <c r="M113" s="2337"/>
      <c r="N113" s="2337"/>
      <c r="O113" s="2205"/>
      <c r="P113" s="2487"/>
      <c r="Q113" s="2488"/>
      <c r="R113" s="2489"/>
      <c r="S113" s="3278"/>
      <c r="T113" s="3279" t="s">
        <v>533</v>
      </c>
      <c r="U113" s="3280"/>
      <c r="V113" s="3281"/>
      <c r="W113" s="3282"/>
      <c r="X113" s="3283"/>
      <c r="Y113" s="3284"/>
      <c r="Z113" s="3285"/>
      <c r="AA113" s="3286"/>
      <c r="AB113" s="3287"/>
      <c r="AC113" s="3288"/>
      <c r="AD113" s="3289"/>
      <c r="AE113" s="3290"/>
      <c r="AF113" s="3291"/>
      <c r="AG113" s="3292"/>
      <c r="AH113" s="3293"/>
      <c r="AI113" s="3294"/>
      <c r="AJ113" s="3295"/>
      <c r="AK113" s="3296"/>
      <c r="AL113" s="3297"/>
      <c r="AM113" s="3298"/>
      <c r="AN113" s="3299"/>
      <c r="AO113" s="3300"/>
      <c r="AP113" s="3301"/>
      <c r="AQ113" s="3302"/>
      <c r="AR113" s="3303"/>
      <c r="AS113" s="3304"/>
      <c r="AT113" s="3305"/>
      <c r="AU113" s="3306"/>
      <c r="AV113" s="3307"/>
      <c r="AW113" s="3308"/>
      <c r="AX113" s="3309"/>
      <c r="AY113" s="3310"/>
      <c r="AZ113" s="3311"/>
      <c r="BA113" s="3312"/>
      <c r="BB113" s="3313"/>
      <c r="BC113" s="3314"/>
      <c r="BD113" s="3315"/>
      <c r="BE113" s="3316"/>
      <c r="BF113" s="3317"/>
      <c r="BG113" s="3318"/>
      <c r="BH113" s="3319"/>
      <c r="BI113" s="3320"/>
      <c r="BJ113" s="3321"/>
      <c r="BK113" s="3322"/>
      <c r="BL113" s="3323"/>
      <c r="BM113" s="3324"/>
      <c r="BN113" s="3325"/>
      <c r="BO113" s="3326"/>
      <c r="BP113" s="3327"/>
      <c r="BQ113" s="3328"/>
      <c r="BR113" s="3329"/>
      <c r="BS113" s="3330"/>
      <c r="BT113" s="3331"/>
      <c r="BU113" s="3332"/>
      <c r="BV113" s="3333"/>
      <c r="BW113" s="3334"/>
      <c r="BX113" s="3335"/>
      <c r="BY113" s="3336"/>
      <c r="BZ113" s="3337"/>
      <c r="CA113" s="3338"/>
      <c r="CB113" s="2211"/>
      <c r="CC113" s="2345"/>
      <c r="CD113" s="2345" t="str">
        <f t="shared" si="3"/>
        <v>Добавить схему подключения</v>
      </c>
      <c r="CE113" s="2345"/>
      <c r="CF113" s="2345"/>
    </row>
    <row r="114" spans="1:84" s="3339" customFormat="1" ht="0.75" customHeight="1">
      <c r="A114" s="2552"/>
      <c r="B114" s="2552"/>
      <c r="C114" s="2552"/>
      <c r="D114" s="2552"/>
      <c r="E114" s="6764"/>
      <c r="F114" s="6764" t="s">
        <v>115</v>
      </c>
      <c r="G114" s="6763"/>
      <c r="H114" s="2552"/>
      <c r="I114" s="2552"/>
      <c r="J114" s="2552"/>
      <c r="K114" s="2552"/>
      <c r="L114" s="2553"/>
      <c r="M114" s="2554"/>
      <c r="N114" s="2554"/>
      <c r="O114" s="2211"/>
      <c r="P114" s="2555"/>
      <c r="Q114" s="2556"/>
      <c r="R114" s="2555"/>
      <c r="S114" s="2557"/>
      <c r="T114" s="2558" t="s">
        <v>228</v>
      </c>
      <c r="U114" s="2203"/>
      <c r="V114" s="2203"/>
      <c r="W114" s="2203"/>
      <c r="X114" s="2203"/>
      <c r="Y114" s="2203"/>
      <c r="Z114" s="2203"/>
      <c r="AA114" s="2203"/>
      <c r="AB114" s="2203"/>
      <c r="AC114" s="2203"/>
      <c r="AD114" s="2203"/>
      <c r="AE114" s="2203"/>
      <c r="AF114" s="2203"/>
      <c r="AG114" s="2203"/>
      <c r="AH114" s="2203"/>
      <c r="AI114" s="2203"/>
      <c r="AJ114" s="2203"/>
      <c r="AK114" s="2203"/>
      <c r="AL114" s="2203"/>
      <c r="AM114" s="2203"/>
      <c r="AN114" s="2203"/>
      <c r="AO114" s="2203"/>
      <c r="AP114" s="2203"/>
      <c r="AQ114" s="2203"/>
      <c r="AR114" s="2203"/>
      <c r="AS114" s="2203"/>
      <c r="AT114" s="2203"/>
      <c r="AU114" s="2203"/>
      <c r="AV114" s="2203"/>
      <c r="AW114" s="2203"/>
      <c r="AX114" s="2203"/>
      <c r="AY114" s="2203"/>
      <c r="AZ114" s="2203"/>
      <c r="BA114" s="2203"/>
      <c r="BB114" s="2203"/>
      <c r="BC114" s="2203"/>
      <c r="BD114" s="2203"/>
      <c r="BE114" s="2203"/>
      <c r="BF114" s="2203"/>
      <c r="BG114" s="2203"/>
      <c r="BH114" s="2203"/>
      <c r="BI114" s="2203"/>
      <c r="BJ114" s="2203"/>
      <c r="BK114" s="2203"/>
      <c r="BL114" s="2203"/>
      <c r="BM114" s="2203"/>
      <c r="BN114" s="2203"/>
      <c r="BO114" s="2203"/>
      <c r="BP114" s="2203"/>
      <c r="BQ114" s="2203"/>
      <c r="BR114" s="2203"/>
      <c r="BS114" s="2203"/>
      <c r="BT114" s="2203"/>
      <c r="BU114" s="2203"/>
      <c r="BV114" s="2203"/>
      <c r="BW114" s="2203"/>
      <c r="BX114" s="2203"/>
      <c r="BY114" s="2203"/>
      <c r="BZ114" s="2203"/>
      <c r="CA114" s="2203"/>
      <c r="CB114" s="2211"/>
      <c r="CC114" s="2345"/>
      <c r="CD114" s="2345" t="str">
        <f t="shared" si="3"/>
        <v>Добавить источник для дифференциации</v>
      </c>
      <c r="CE114" s="2345"/>
      <c r="CF114" s="2345"/>
    </row>
    <row r="115" spans="1:84" s="3340" customFormat="1" ht="0.75" customHeight="1">
      <c r="A115" s="2552"/>
      <c r="B115" s="2552"/>
      <c r="C115" s="2552"/>
      <c r="D115" s="2552"/>
      <c r="E115" s="6764"/>
      <c r="F115" s="6763" t="s">
        <v>115</v>
      </c>
      <c r="G115" s="2552"/>
      <c r="H115" s="2552"/>
      <c r="I115" s="2552"/>
      <c r="J115" s="2552"/>
      <c r="K115" s="2552"/>
      <c r="L115" s="2553"/>
      <c r="M115" s="2560"/>
      <c r="N115" s="2560"/>
      <c r="O115" s="2211"/>
      <c r="P115" s="2555"/>
      <c r="Q115" s="2556"/>
      <c r="R115" s="2555"/>
      <c r="S115" s="2561"/>
      <c r="T115" s="2562" t="s">
        <v>229</v>
      </c>
      <c r="U115" s="2204"/>
      <c r="V115" s="2204"/>
      <c r="W115" s="2204"/>
      <c r="X115" s="2204"/>
      <c r="Y115" s="2204"/>
      <c r="Z115" s="2204"/>
      <c r="AA115" s="2204"/>
      <c r="AB115" s="2204"/>
      <c r="AC115" s="2204"/>
      <c r="AD115" s="2204"/>
      <c r="AE115" s="2204"/>
      <c r="AF115" s="2204"/>
      <c r="AG115" s="2204"/>
      <c r="AH115" s="2204"/>
      <c r="AI115" s="2204"/>
      <c r="AJ115" s="2204"/>
      <c r="AK115" s="2204"/>
      <c r="AL115" s="2204"/>
      <c r="AM115" s="2204"/>
      <c r="AN115" s="2204"/>
      <c r="AO115" s="2204"/>
      <c r="AP115" s="2204"/>
      <c r="AQ115" s="2204"/>
      <c r="AR115" s="2204"/>
      <c r="AS115" s="2204"/>
      <c r="AT115" s="2204"/>
      <c r="AU115" s="2204"/>
      <c r="AV115" s="2204"/>
      <c r="AW115" s="2204"/>
      <c r="AX115" s="2204"/>
      <c r="AY115" s="2204"/>
      <c r="AZ115" s="2204"/>
      <c r="BA115" s="2204"/>
      <c r="BB115" s="2204"/>
      <c r="BC115" s="2204"/>
      <c r="BD115" s="2204"/>
      <c r="BE115" s="2204"/>
      <c r="BF115" s="2204"/>
      <c r="BG115" s="2204"/>
      <c r="BH115" s="2204"/>
      <c r="BI115" s="2204"/>
      <c r="BJ115" s="2204"/>
      <c r="BK115" s="2204"/>
      <c r="BL115" s="2204"/>
      <c r="BM115" s="2204"/>
      <c r="BN115" s="2204"/>
      <c r="BO115" s="2204"/>
      <c r="BP115" s="2204"/>
      <c r="BQ115" s="2204"/>
      <c r="BR115" s="2204"/>
      <c r="BS115" s="2204"/>
      <c r="BT115" s="2204"/>
      <c r="BU115" s="2204"/>
      <c r="BV115" s="2204"/>
      <c r="BW115" s="2204"/>
      <c r="BX115" s="2204"/>
      <c r="BY115" s="2204"/>
      <c r="BZ115" s="2204"/>
      <c r="CA115" s="2204"/>
      <c r="CB115" s="2211"/>
      <c r="CC115" s="2345"/>
      <c r="CD115" s="2345" t="str">
        <f t="shared" si="3"/>
        <v>Добавить централизованную систему для дифференциации</v>
      </c>
      <c r="CE115" s="2345"/>
      <c r="CF115" s="2345"/>
    </row>
    <row r="116" spans="1:84" s="3341" customFormat="1" ht="21" customHeight="1">
      <c r="A116" s="2335"/>
      <c r="B116" s="2335" t="s">
        <v>245</v>
      </c>
      <c r="C116" s="2335"/>
      <c r="D116" s="2335"/>
      <c r="E116" s="6764"/>
      <c r="F116" s="6763" t="s">
        <v>92</v>
      </c>
      <c r="G116" s="2335"/>
      <c r="H116" s="2335"/>
      <c r="I116" s="2335"/>
      <c r="J116" s="2335"/>
      <c r="K116" s="2335"/>
      <c r="L116" s="2336"/>
      <c r="M116" s="2337"/>
      <c r="N116" s="2337"/>
      <c r="O116" s="2337"/>
      <c r="P116" s="2338"/>
      <c r="Q116" s="2339"/>
      <c r="R116" s="2340"/>
      <c r="S116" s="2341" t="str">
        <f>INDEX(PT_DIFFERENTIATION_NUM_TER,MATCH(B116,PT_DIFFERENTIATION_TER_ID,0))</f>
        <v>1.7</v>
      </c>
      <c r="T116" s="2342" t="s">
        <v>517</v>
      </c>
      <c r="U116" s="2343"/>
      <c r="V116" s="6749"/>
      <c r="W116" s="6750"/>
      <c r="X116" s="6750"/>
      <c r="Y116" s="6750"/>
      <c r="Z116" s="6750"/>
      <c r="AA116" s="6750"/>
      <c r="AB116" s="6750"/>
      <c r="AC116" s="6751"/>
      <c r="AD116" s="6749" t="str">
        <f>INDEX(PT_DIFFERENTIATION_TER,MATCH(B116,PT_DIFFERENTIATION_TER_ID,0))</f>
        <v>Территория 6</v>
      </c>
      <c r="AE116" s="6750"/>
      <c r="AF116" s="6750"/>
      <c r="AG116" s="6750"/>
      <c r="AH116" s="6750"/>
      <c r="AI116" s="6750"/>
      <c r="AJ116" s="6750"/>
      <c r="AK116" s="6750"/>
      <c r="AL116" s="6749"/>
      <c r="AM116" s="6750"/>
      <c r="AN116" s="6750"/>
      <c r="AO116" s="6750"/>
      <c r="AP116" s="6750"/>
      <c r="AQ116" s="6750"/>
      <c r="AR116" s="6750"/>
      <c r="AS116" s="6751"/>
      <c r="AT116" s="6749"/>
      <c r="AU116" s="6750"/>
      <c r="AV116" s="6750"/>
      <c r="AW116" s="6750"/>
      <c r="AX116" s="6750"/>
      <c r="AY116" s="6750"/>
      <c r="AZ116" s="6750"/>
      <c r="BA116" s="6751"/>
      <c r="BB116" s="6749"/>
      <c r="BC116" s="6750"/>
      <c r="BD116" s="6750"/>
      <c r="BE116" s="6750"/>
      <c r="BF116" s="6750"/>
      <c r="BG116" s="6750"/>
      <c r="BH116" s="6750"/>
      <c r="BI116" s="6751"/>
      <c r="BJ116" s="6749"/>
      <c r="BK116" s="6750"/>
      <c r="BL116" s="6750"/>
      <c r="BM116" s="6750"/>
      <c r="BN116" s="6750"/>
      <c r="BO116" s="6750"/>
      <c r="BP116" s="6750"/>
      <c r="BQ116" s="6751"/>
      <c r="BR116" s="6749"/>
      <c r="BS116" s="6750"/>
      <c r="BT116" s="6750"/>
      <c r="BU116" s="6750"/>
      <c r="BV116" s="6750"/>
      <c r="BW116" s="6750"/>
      <c r="BX116" s="6750"/>
      <c r="BY116" s="6751"/>
      <c r="BZ116" s="6751"/>
      <c r="CA116" s="2344" t="s">
        <v>518</v>
      </c>
      <c r="CB116" s="2211"/>
      <c r="CC116" s="2345"/>
      <c r="CD116" s="2345" t="str">
        <f t="shared" si="3"/>
        <v>Территория действия тарифа</v>
      </c>
      <c r="CE116" s="2345"/>
      <c r="CF116" s="2345"/>
    </row>
    <row r="117" spans="1:84" s="3342" customFormat="1" ht="23.25" customHeight="1">
      <c r="A117" s="2335"/>
      <c r="B117" s="2335"/>
      <c r="C117" s="2335" t="s">
        <v>246</v>
      </c>
      <c r="D117" s="2335"/>
      <c r="E117" s="6764"/>
      <c r="F117" s="6764" t="s">
        <v>91</v>
      </c>
      <c r="G117" s="6763">
        <v>1</v>
      </c>
      <c r="H117" s="2335"/>
      <c r="I117" s="2335"/>
      <c r="J117" s="2335"/>
      <c r="K117" s="2335"/>
      <c r="L117" s="2336"/>
      <c r="M117" s="2337"/>
      <c r="N117" s="2337"/>
      <c r="O117" s="2337"/>
      <c r="P117" s="2347"/>
      <c r="Q117" s="2339"/>
      <c r="R117" s="2340"/>
      <c r="S117" s="2341" t="str">
        <f>INDEX(PT_DIFFERENTIATION_NUM_CS,MATCH(C117,PT_DIFFERENTIATION_CS_ID,0))</f>
        <v>1.7.1</v>
      </c>
      <c r="T117" s="2348" t="s">
        <v>519</v>
      </c>
      <c r="U117" s="2343"/>
      <c r="V117" s="6749"/>
      <c r="W117" s="6750"/>
      <c r="X117" s="6750"/>
      <c r="Y117" s="6750"/>
      <c r="Z117" s="6750"/>
      <c r="AA117" s="6750"/>
      <c r="AB117" s="6750"/>
      <c r="AC117" s="6751"/>
      <c r="AD117" s="6749" t="str">
        <f>INDEX(PT_DIFFERENTIATION_CS,MATCH(C117,PT_DIFFERENTIATION_CS_ID,0))</f>
        <v>без дифференциации</v>
      </c>
      <c r="AE117" s="6750"/>
      <c r="AF117" s="6750"/>
      <c r="AG117" s="6750"/>
      <c r="AH117" s="6750"/>
      <c r="AI117" s="6750"/>
      <c r="AJ117" s="6750"/>
      <c r="AK117" s="6750"/>
      <c r="AL117" s="6749"/>
      <c r="AM117" s="6750"/>
      <c r="AN117" s="6750"/>
      <c r="AO117" s="6750"/>
      <c r="AP117" s="6750"/>
      <c r="AQ117" s="6750"/>
      <c r="AR117" s="6750"/>
      <c r="AS117" s="6751"/>
      <c r="AT117" s="6749"/>
      <c r="AU117" s="6750"/>
      <c r="AV117" s="6750"/>
      <c r="AW117" s="6750"/>
      <c r="AX117" s="6750"/>
      <c r="AY117" s="6750"/>
      <c r="AZ117" s="6750"/>
      <c r="BA117" s="6751"/>
      <c r="BB117" s="6749"/>
      <c r="BC117" s="6750"/>
      <c r="BD117" s="6750"/>
      <c r="BE117" s="6750"/>
      <c r="BF117" s="6750"/>
      <c r="BG117" s="6750"/>
      <c r="BH117" s="6750"/>
      <c r="BI117" s="6751"/>
      <c r="BJ117" s="6749"/>
      <c r="BK117" s="6750"/>
      <c r="BL117" s="6750"/>
      <c r="BM117" s="6750"/>
      <c r="BN117" s="6750"/>
      <c r="BO117" s="6750"/>
      <c r="BP117" s="6750"/>
      <c r="BQ117" s="6751"/>
      <c r="BR117" s="6749"/>
      <c r="BS117" s="6750"/>
      <c r="BT117" s="6750"/>
      <c r="BU117" s="6750"/>
      <c r="BV117" s="6750"/>
      <c r="BW117" s="6750"/>
      <c r="BX117" s="6750"/>
      <c r="BY117" s="6751"/>
      <c r="BZ117" s="6751"/>
      <c r="CA117" s="2344" t="s">
        <v>520</v>
      </c>
      <c r="CB117" s="2211"/>
      <c r="CC117" s="2345"/>
      <c r="CD117" s="2345" t="str">
        <f t="shared" si="3"/>
        <v xml:space="preserve">Наименование системы теплоснабжения </v>
      </c>
      <c r="CE117" s="2345"/>
      <c r="CF117" s="2345"/>
    </row>
    <row r="118" spans="1:84" s="3343" customFormat="1" ht="21" customHeight="1">
      <c r="A118" s="2335"/>
      <c r="B118" s="2335"/>
      <c r="C118" s="2335"/>
      <c r="D118" s="2335" t="s">
        <v>247</v>
      </c>
      <c r="E118" s="6764"/>
      <c r="F118" s="6764" t="s">
        <v>91</v>
      </c>
      <c r="G118" s="6764"/>
      <c r="H118" s="6763">
        <v>1</v>
      </c>
      <c r="I118" s="2335"/>
      <c r="J118" s="2335"/>
      <c r="K118" s="2335"/>
      <c r="L118" s="2336"/>
      <c r="M118" s="2337"/>
      <c r="N118" s="2337"/>
      <c r="O118" s="2337"/>
      <c r="P118" s="2347"/>
      <c r="Q118" s="2339"/>
      <c r="R118" s="2340"/>
      <c r="S118" s="2341" t="str">
        <f>INDEX(PT_DIFFERENTIATION_NUM_IST_TE,MATCH(D118,PT_DIFFERENTIATION_IST_TE_ID,0))</f>
        <v>1.7.1.1</v>
      </c>
      <c r="T118" s="2350" t="s">
        <v>521</v>
      </c>
      <c r="U118" s="2343"/>
      <c r="V118" s="6749"/>
      <c r="W118" s="6750"/>
      <c r="X118" s="6750"/>
      <c r="Y118" s="6750"/>
      <c r="Z118" s="6750"/>
      <c r="AA118" s="6750"/>
      <c r="AB118" s="6750"/>
      <c r="AC118" s="6751"/>
      <c r="AD118" s="6749" t="str">
        <f>INDEX(PT_DIFFERENTIATION_IST_TE,MATCH(D118,PT_DIFFERENTIATION_IST_TE_ID,0))</f>
        <v>без дифференциации</v>
      </c>
      <c r="AE118" s="6750"/>
      <c r="AF118" s="6750"/>
      <c r="AG118" s="6750"/>
      <c r="AH118" s="6750"/>
      <c r="AI118" s="6750"/>
      <c r="AJ118" s="6750"/>
      <c r="AK118" s="6750"/>
      <c r="AL118" s="6749"/>
      <c r="AM118" s="6750"/>
      <c r="AN118" s="6750"/>
      <c r="AO118" s="6750"/>
      <c r="AP118" s="6750"/>
      <c r="AQ118" s="6750"/>
      <c r="AR118" s="6750"/>
      <c r="AS118" s="6751"/>
      <c r="AT118" s="6749"/>
      <c r="AU118" s="6750"/>
      <c r="AV118" s="6750"/>
      <c r="AW118" s="6750"/>
      <c r="AX118" s="6750"/>
      <c r="AY118" s="6750"/>
      <c r="AZ118" s="6750"/>
      <c r="BA118" s="6751"/>
      <c r="BB118" s="6749"/>
      <c r="BC118" s="6750"/>
      <c r="BD118" s="6750"/>
      <c r="BE118" s="6750"/>
      <c r="BF118" s="6750"/>
      <c r="BG118" s="6750"/>
      <c r="BH118" s="6750"/>
      <c r="BI118" s="6751"/>
      <c r="BJ118" s="6749"/>
      <c r="BK118" s="6750"/>
      <c r="BL118" s="6750"/>
      <c r="BM118" s="6750"/>
      <c r="BN118" s="6750"/>
      <c r="BO118" s="6750"/>
      <c r="BP118" s="6750"/>
      <c r="BQ118" s="6751"/>
      <c r="BR118" s="6749"/>
      <c r="BS118" s="6750"/>
      <c r="BT118" s="6750"/>
      <c r="BU118" s="6750"/>
      <c r="BV118" s="6750"/>
      <c r="BW118" s="6750"/>
      <c r="BX118" s="6750"/>
      <c r="BY118" s="6751"/>
      <c r="BZ118" s="6751"/>
      <c r="CA118" s="2344" t="s">
        <v>522</v>
      </c>
      <c r="CB118" s="2211"/>
      <c r="CC118" s="2345"/>
      <c r="CD118" s="2345" t="str">
        <f t="shared" si="3"/>
        <v xml:space="preserve">Источник тепловой энергии  </v>
      </c>
      <c r="CE118" s="2345"/>
      <c r="CF118" s="2345"/>
    </row>
    <row r="119" spans="1:84" s="3344" customFormat="1" ht="47.25" customHeight="1">
      <c r="A119" s="2335"/>
      <c r="B119" s="2335"/>
      <c r="C119" s="2335"/>
      <c r="D119" s="2335"/>
      <c r="E119" s="6764"/>
      <c r="F119" s="6764" t="s">
        <v>91</v>
      </c>
      <c r="G119" s="6764"/>
      <c r="H119" s="6764"/>
      <c r="I119" s="6761" t="str">
        <f>S118&amp;".1"</f>
        <v>1.7.1.1.1</v>
      </c>
      <c r="J119" s="2335"/>
      <c r="K119" s="2335"/>
      <c r="L119" s="2336" t="s">
        <v>523</v>
      </c>
      <c r="M119" s="2205"/>
      <c r="N119" s="2352"/>
      <c r="O119" s="2352"/>
      <c r="P119" s="6762">
        <v>1</v>
      </c>
      <c r="Q119" s="2353"/>
      <c r="R119" s="2354"/>
      <c r="S119" s="2341" t="str">
        <f>$I119</f>
        <v>1.7.1.1.1</v>
      </c>
      <c r="T119" s="2355" t="s">
        <v>524</v>
      </c>
      <c r="U119" s="2343"/>
      <c r="V119" s="6752"/>
      <c r="W119" s="6753"/>
      <c r="X119" s="6753"/>
      <c r="Y119" s="6753"/>
      <c r="Z119" s="6753"/>
      <c r="AA119" s="6753"/>
      <c r="AB119" s="6753"/>
      <c r="AC119" s="6754"/>
      <c r="AD119" s="6752" t="s">
        <v>566</v>
      </c>
      <c r="AE119" s="6753"/>
      <c r="AF119" s="6753"/>
      <c r="AG119" s="6753"/>
      <c r="AH119" s="6753"/>
      <c r="AI119" s="6753"/>
      <c r="AJ119" s="6753"/>
      <c r="AK119" s="6753"/>
      <c r="AL119" s="6752"/>
      <c r="AM119" s="6753"/>
      <c r="AN119" s="6753"/>
      <c r="AO119" s="6753"/>
      <c r="AP119" s="6753"/>
      <c r="AQ119" s="6753"/>
      <c r="AR119" s="6753"/>
      <c r="AS119" s="6754"/>
      <c r="AT119" s="6752"/>
      <c r="AU119" s="6753"/>
      <c r="AV119" s="6753"/>
      <c r="AW119" s="6753"/>
      <c r="AX119" s="6753"/>
      <c r="AY119" s="6753"/>
      <c r="AZ119" s="6753"/>
      <c r="BA119" s="6754"/>
      <c r="BB119" s="6752"/>
      <c r="BC119" s="6753"/>
      <c r="BD119" s="6753"/>
      <c r="BE119" s="6753"/>
      <c r="BF119" s="6753"/>
      <c r="BG119" s="6753"/>
      <c r="BH119" s="6753"/>
      <c r="BI119" s="6754"/>
      <c r="BJ119" s="6752"/>
      <c r="BK119" s="6753"/>
      <c r="BL119" s="6753"/>
      <c r="BM119" s="6753"/>
      <c r="BN119" s="6753"/>
      <c r="BO119" s="6753"/>
      <c r="BP119" s="6753"/>
      <c r="BQ119" s="6754"/>
      <c r="BR119" s="6752"/>
      <c r="BS119" s="6753"/>
      <c r="BT119" s="6753"/>
      <c r="BU119" s="6753"/>
      <c r="BV119" s="6753"/>
      <c r="BW119" s="6753"/>
      <c r="BX119" s="6753"/>
      <c r="BY119" s="6754"/>
      <c r="BZ119" s="6754"/>
      <c r="CA119" s="2344" t="s">
        <v>525</v>
      </c>
      <c r="CB119" s="2211"/>
      <c r="CC119" s="2345"/>
      <c r="CD119" s="2345" t="str">
        <f t="shared" si="3"/>
        <v>Схема подключения теплопотребляющей установки к коллектору источника тепловой энергии</v>
      </c>
      <c r="CE119" s="2345"/>
      <c r="CF119" s="2345"/>
    </row>
    <row r="120" spans="1:84" s="3345" customFormat="1" ht="21" customHeight="1">
      <c r="A120" s="2335"/>
      <c r="B120" s="2335"/>
      <c r="C120" s="2335"/>
      <c r="D120" s="2335"/>
      <c r="E120" s="6764"/>
      <c r="F120" s="6764" t="s">
        <v>91</v>
      </c>
      <c r="G120" s="6764"/>
      <c r="H120" s="6764"/>
      <c r="I120" s="6784"/>
      <c r="J120" s="6761" t="str">
        <f>I119&amp;".1"</f>
        <v>1.7.1.1.1.1</v>
      </c>
      <c r="K120" s="2335"/>
      <c r="L120" s="2336" t="s">
        <v>526</v>
      </c>
      <c r="M120" s="2205"/>
      <c r="N120" s="2205"/>
      <c r="O120" s="2352"/>
      <c r="P120" s="6762"/>
      <c r="Q120" s="6762">
        <v>1</v>
      </c>
      <c r="R120" s="2357"/>
      <c r="S120" s="2341" t="str">
        <f>$J120</f>
        <v>1.7.1.1.1.1</v>
      </c>
      <c r="T120" s="2358" t="s">
        <v>527</v>
      </c>
      <c r="U120" s="2343"/>
      <c r="V120" s="6752"/>
      <c r="W120" s="6753"/>
      <c r="X120" s="6753"/>
      <c r="Y120" s="6753"/>
      <c r="Z120" s="6753"/>
      <c r="AA120" s="6753"/>
      <c r="AB120" s="6753"/>
      <c r="AC120" s="6754"/>
      <c r="AD120" s="6752" t="s">
        <v>566</v>
      </c>
      <c r="AE120" s="6753"/>
      <c r="AF120" s="6753"/>
      <c r="AG120" s="6753"/>
      <c r="AH120" s="6753"/>
      <c r="AI120" s="6753"/>
      <c r="AJ120" s="6753"/>
      <c r="AK120" s="6753"/>
      <c r="AL120" s="6752"/>
      <c r="AM120" s="6753"/>
      <c r="AN120" s="6753"/>
      <c r="AO120" s="6753"/>
      <c r="AP120" s="6753"/>
      <c r="AQ120" s="6753"/>
      <c r="AR120" s="6753"/>
      <c r="AS120" s="6754"/>
      <c r="AT120" s="6752"/>
      <c r="AU120" s="6753"/>
      <c r="AV120" s="6753"/>
      <c r="AW120" s="6753"/>
      <c r="AX120" s="6753"/>
      <c r="AY120" s="6753"/>
      <c r="AZ120" s="6753"/>
      <c r="BA120" s="6754"/>
      <c r="BB120" s="6752"/>
      <c r="BC120" s="6753"/>
      <c r="BD120" s="6753"/>
      <c r="BE120" s="6753"/>
      <c r="BF120" s="6753"/>
      <c r="BG120" s="6753"/>
      <c r="BH120" s="6753"/>
      <c r="BI120" s="6754"/>
      <c r="BJ120" s="6752"/>
      <c r="BK120" s="6753"/>
      <c r="BL120" s="6753"/>
      <c r="BM120" s="6753"/>
      <c r="BN120" s="6753"/>
      <c r="BO120" s="6753"/>
      <c r="BP120" s="6753"/>
      <c r="BQ120" s="6754"/>
      <c r="BR120" s="6752"/>
      <c r="BS120" s="6753"/>
      <c r="BT120" s="6753"/>
      <c r="BU120" s="6753"/>
      <c r="BV120" s="6753"/>
      <c r="BW120" s="6753"/>
      <c r="BX120" s="6753"/>
      <c r="BY120" s="6754"/>
      <c r="BZ120" s="6754"/>
      <c r="CA120" s="2344" t="s">
        <v>528</v>
      </c>
      <c r="CB120" s="2211"/>
      <c r="CC120" s="2345"/>
      <c r="CD120" s="2345" t="str">
        <f t="shared" si="3"/>
        <v>Группа потребителей</v>
      </c>
      <c r="CE120" s="2345"/>
      <c r="CF120" s="2345"/>
    </row>
    <row r="121" spans="1:84" s="3346" customFormat="1" ht="21" customHeight="1">
      <c r="A121" s="2335"/>
      <c r="B121" s="2335"/>
      <c r="C121" s="2335"/>
      <c r="D121" s="2335"/>
      <c r="E121" s="6764"/>
      <c r="F121" s="6764" t="s">
        <v>91</v>
      </c>
      <c r="G121" s="6764"/>
      <c r="H121" s="6764"/>
      <c r="I121" s="6784"/>
      <c r="J121" s="6784"/>
      <c r="K121" s="6761" t="str">
        <f>J120&amp;".1"</f>
        <v>1.7.1.1.1.1.1</v>
      </c>
      <c r="L121" s="2336" t="s">
        <v>529</v>
      </c>
      <c r="M121" s="2205"/>
      <c r="N121" s="2205"/>
      <c r="O121" s="2205"/>
      <c r="P121" s="6762"/>
      <c r="Q121" s="6762"/>
      <c r="R121" s="2357">
        <v>1</v>
      </c>
      <c r="S121" s="2341" t="str">
        <f>$K121</f>
        <v>1.7.1.1.1.1.1</v>
      </c>
      <c r="T121" s="2360" t="s">
        <v>567</v>
      </c>
      <c r="U121" s="2343"/>
      <c r="V121" s="2763"/>
      <c r="W121" s="2763"/>
      <c r="X121" s="2763"/>
      <c r="Y121" s="2764"/>
      <c r="Z121" s="6768"/>
      <c r="AA121" s="6769" t="s">
        <v>61</v>
      </c>
      <c r="AB121" s="6768"/>
      <c r="AC121" s="6769" t="s">
        <v>61</v>
      </c>
      <c r="AD121" s="2078">
        <v>3066.37</v>
      </c>
      <c r="AE121" s="2079"/>
      <c r="AF121" s="2078"/>
      <c r="AG121" s="2080"/>
      <c r="AH121" s="6766">
        <v>45292.657268518517</v>
      </c>
      <c r="AI121" s="6610" t="s">
        <v>61</v>
      </c>
      <c r="AJ121" s="6766">
        <v>45838.657500000001</v>
      </c>
      <c r="AK121" s="6610" t="s">
        <v>61</v>
      </c>
      <c r="AL121" s="2078">
        <v>3369.74</v>
      </c>
      <c r="AM121" s="2079"/>
      <c r="AN121" s="2078"/>
      <c r="AO121" s="2080"/>
      <c r="AP121" s="6766">
        <v>45839.657766203702</v>
      </c>
      <c r="AQ121" s="6610" t="s">
        <v>61</v>
      </c>
      <c r="AR121" s="6766">
        <v>46203.658032407409</v>
      </c>
      <c r="AS121" s="6610" t="s">
        <v>61</v>
      </c>
      <c r="AT121" s="2078">
        <v>3482.51</v>
      </c>
      <c r="AU121" s="2079"/>
      <c r="AV121" s="2078"/>
      <c r="AW121" s="2080"/>
      <c r="AX121" s="6766">
        <v>46204.65834490741</v>
      </c>
      <c r="AY121" s="6610" t="s">
        <v>61</v>
      </c>
      <c r="AZ121" s="6766">
        <v>46568.658553240741</v>
      </c>
      <c r="BA121" s="6610" t="s">
        <v>61</v>
      </c>
      <c r="BB121" s="2078">
        <v>3595.94</v>
      </c>
      <c r="BC121" s="2079"/>
      <c r="BD121" s="2078"/>
      <c r="BE121" s="2080"/>
      <c r="BF121" s="6766">
        <v>46569.658900462964</v>
      </c>
      <c r="BG121" s="6610" t="s">
        <v>61</v>
      </c>
      <c r="BH121" s="6766">
        <v>46934.659074074072</v>
      </c>
      <c r="BI121" s="6610" t="s">
        <v>61</v>
      </c>
      <c r="BJ121" s="2078">
        <v>3713.27</v>
      </c>
      <c r="BK121" s="2079"/>
      <c r="BL121" s="2078"/>
      <c r="BM121" s="2080"/>
      <c r="BN121" s="6766">
        <v>46935.659525462965</v>
      </c>
      <c r="BO121" s="6610" t="s">
        <v>61</v>
      </c>
      <c r="BP121" s="6766">
        <v>47118.659733796296</v>
      </c>
      <c r="BQ121" s="6610" t="s">
        <v>56</v>
      </c>
      <c r="BR121" s="2763"/>
      <c r="BS121" s="2763"/>
      <c r="BT121" s="2763"/>
      <c r="BU121" s="2764"/>
      <c r="BV121" s="6768"/>
      <c r="BW121" s="6769" t="s">
        <v>61</v>
      </c>
      <c r="BX121" s="6768"/>
      <c r="BY121" s="6769" t="s">
        <v>61</v>
      </c>
      <c r="BZ121" s="2079"/>
      <c r="CA121" s="6758" t="s">
        <v>530</v>
      </c>
      <c r="CB121" s="2211" t="e">
        <f ca="1">STRCHECKDATE(V122:BZ122)</f>
        <v>#NAME?</v>
      </c>
      <c r="CC121" s="2345"/>
      <c r="CD121" s="2345" t="str">
        <f t="shared" si="3"/>
        <v>вода</v>
      </c>
      <c r="CE121" s="2345"/>
      <c r="CF121" s="2345"/>
    </row>
    <row r="122" spans="1:84" s="3347" customFormat="1" ht="0.75" customHeight="1">
      <c r="A122" s="2335"/>
      <c r="B122" s="2335"/>
      <c r="C122" s="2335"/>
      <c r="D122" s="2335"/>
      <c r="E122" s="6764"/>
      <c r="F122" s="6764" t="s">
        <v>91</v>
      </c>
      <c r="G122" s="6764"/>
      <c r="H122" s="6764"/>
      <c r="I122" s="6784"/>
      <c r="J122" s="6784"/>
      <c r="K122" s="6761"/>
      <c r="L122" s="2336"/>
      <c r="M122" s="2205"/>
      <c r="N122" s="2205"/>
      <c r="O122" s="2205"/>
      <c r="P122" s="6762"/>
      <c r="Q122" s="6762"/>
      <c r="R122" s="2357"/>
      <c r="S122" s="2362"/>
      <c r="T122" s="2343"/>
      <c r="U122" s="2343"/>
      <c r="V122" s="2763"/>
      <c r="W122" s="2763"/>
      <c r="X122" s="2763"/>
      <c r="Y122" s="2082" t="str">
        <f>Z121&amp;"-"&amp;AB121</f>
        <v>-</v>
      </c>
      <c r="Z122" s="6769"/>
      <c r="AA122" s="6769"/>
      <c r="AB122" s="6769"/>
      <c r="AC122" s="6769"/>
      <c r="AD122" s="2079"/>
      <c r="AE122" s="2079"/>
      <c r="AF122" s="2079"/>
      <c r="AG122" s="2082" t="str">
        <f>AH121&amp;"-"&amp;AJ121</f>
        <v>45292,6572685185-45838,6575</v>
      </c>
      <c r="AH122" s="6767"/>
      <c r="AI122" s="6610"/>
      <c r="AJ122" s="6767"/>
      <c r="AK122" s="6610"/>
      <c r="AL122" s="2079"/>
      <c r="AM122" s="2079"/>
      <c r="AN122" s="2079"/>
      <c r="AO122" s="2082" t="str">
        <f>AP121&amp;"-"&amp;AR121</f>
        <v>45839,6577662037-46203,6580324074</v>
      </c>
      <c r="AP122" s="6767"/>
      <c r="AQ122" s="6610"/>
      <c r="AR122" s="6767"/>
      <c r="AS122" s="6610"/>
      <c r="AT122" s="2079"/>
      <c r="AU122" s="2079"/>
      <c r="AV122" s="2079"/>
      <c r="AW122" s="2082" t="str">
        <f>AX121&amp;"-"&amp;AZ121</f>
        <v>46204,6583449074-46568,6585532407</v>
      </c>
      <c r="AX122" s="6767"/>
      <c r="AY122" s="6610"/>
      <c r="AZ122" s="6767"/>
      <c r="BA122" s="6610"/>
      <c r="BB122" s="2079"/>
      <c r="BC122" s="2079"/>
      <c r="BD122" s="2079"/>
      <c r="BE122" s="2082" t="str">
        <f>BF121&amp;"-"&amp;BH121</f>
        <v>46569,658900463-46934,6590740741</v>
      </c>
      <c r="BF122" s="6767"/>
      <c r="BG122" s="6610"/>
      <c r="BH122" s="6767"/>
      <c r="BI122" s="6610"/>
      <c r="BJ122" s="2079"/>
      <c r="BK122" s="2079"/>
      <c r="BL122" s="2079"/>
      <c r="BM122" s="2082" t="str">
        <f>BN121&amp;"-"&amp;BP121</f>
        <v>46935,659525463-47118,6597337963</v>
      </c>
      <c r="BN122" s="6767"/>
      <c r="BO122" s="6610"/>
      <c r="BP122" s="6767"/>
      <c r="BQ122" s="6610"/>
      <c r="BR122" s="2763"/>
      <c r="BS122" s="2763"/>
      <c r="BT122" s="2763"/>
      <c r="BU122" s="2082" t="str">
        <f>BV121&amp;"-"&amp;BX121</f>
        <v>-</v>
      </c>
      <c r="BV122" s="6769"/>
      <c r="BW122" s="6769"/>
      <c r="BX122" s="6769"/>
      <c r="BY122" s="6769"/>
      <c r="BZ122" s="2079"/>
      <c r="CA122" s="6759"/>
      <c r="CB122" s="2211"/>
      <c r="CC122" s="2345"/>
      <c r="CD122" s="2345" t="str">
        <f t="shared" si="3"/>
        <v/>
      </c>
      <c r="CE122" s="2345"/>
      <c r="CF122" s="2345"/>
    </row>
    <row r="123" spans="1:84" s="3348" customFormat="1" ht="15" customHeight="1">
      <c r="A123" s="2335"/>
      <c r="B123" s="2335"/>
      <c r="C123" s="2335"/>
      <c r="D123" s="2335"/>
      <c r="E123" s="6764"/>
      <c r="F123" s="6764" t="s">
        <v>91</v>
      </c>
      <c r="G123" s="6764"/>
      <c r="H123" s="6764"/>
      <c r="I123" s="6784"/>
      <c r="J123" s="6761"/>
      <c r="K123" s="2335"/>
      <c r="L123" s="2336"/>
      <c r="M123" s="2205"/>
      <c r="N123" s="2205"/>
      <c r="O123" s="2352"/>
      <c r="P123" s="6762"/>
      <c r="Q123" s="6762"/>
      <c r="R123" s="2354"/>
      <c r="S123" s="3349"/>
      <c r="T123" s="3350" t="s">
        <v>531</v>
      </c>
      <c r="U123" s="3351"/>
      <c r="V123" s="3352"/>
      <c r="W123" s="3353"/>
      <c r="X123" s="3354"/>
      <c r="Y123" s="3355"/>
      <c r="Z123" s="3356"/>
      <c r="AA123" s="3357"/>
      <c r="AB123" s="3358"/>
      <c r="AC123" s="3359"/>
      <c r="AD123" s="3360"/>
      <c r="AE123" s="3361"/>
      <c r="AF123" s="3362"/>
      <c r="AG123" s="3363"/>
      <c r="AH123" s="3364"/>
      <c r="AI123" s="3365"/>
      <c r="AJ123" s="3366"/>
      <c r="AK123" s="3367"/>
      <c r="AL123" s="3368"/>
      <c r="AM123" s="3369"/>
      <c r="AN123" s="3370"/>
      <c r="AO123" s="3371"/>
      <c r="AP123" s="3372"/>
      <c r="AQ123" s="3373"/>
      <c r="AR123" s="3374"/>
      <c r="AS123" s="3375"/>
      <c r="AT123" s="3376"/>
      <c r="AU123" s="3377"/>
      <c r="AV123" s="3378"/>
      <c r="AW123" s="3379"/>
      <c r="AX123" s="3380"/>
      <c r="AY123" s="3381"/>
      <c r="AZ123" s="3382"/>
      <c r="BA123" s="3383"/>
      <c r="BB123" s="3384"/>
      <c r="BC123" s="3385"/>
      <c r="BD123" s="3386"/>
      <c r="BE123" s="3387"/>
      <c r="BF123" s="3388"/>
      <c r="BG123" s="3389"/>
      <c r="BH123" s="3390"/>
      <c r="BI123" s="3391"/>
      <c r="BJ123" s="3392"/>
      <c r="BK123" s="3393"/>
      <c r="BL123" s="3394"/>
      <c r="BM123" s="3395"/>
      <c r="BN123" s="3396"/>
      <c r="BO123" s="3397"/>
      <c r="BP123" s="3398"/>
      <c r="BQ123" s="3399"/>
      <c r="BR123" s="3400"/>
      <c r="BS123" s="3401"/>
      <c r="BT123" s="3402"/>
      <c r="BU123" s="3403"/>
      <c r="BV123" s="3404"/>
      <c r="BW123" s="3405"/>
      <c r="BX123" s="3406"/>
      <c r="BY123" s="3407"/>
      <c r="BZ123" s="3408"/>
      <c r="CA123" s="6760"/>
      <c r="CB123" s="2211"/>
      <c r="CC123" s="2345"/>
      <c r="CD123" s="2345" t="str">
        <f t="shared" si="3"/>
        <v>Добавить вид теплоносителя (параметры теплоносителя)</v>
      </c>
      <c r="CE123" s="2345"/>
      <c r="CF123" s="2345"/>
    </row>
    <row r="124" spans="1:84" s="3409" customFormat="1" ht="15" customHeight="1">
      <c r="A124" s="2335"/>
      <c r="B124" s="2335"/>
      <c r="C124" s="2335"/>
      <c r="D124" s="2335"/>
      <c r="E124" s="6764"/>
      <c r="F124" s="6764" t="s">
        <v>91</v>
      </c>
      <c r="G124" s="6764"/>
      <c r="H124" s="6764"/>
      <c r="I124" s="6761"/>
      <c r="J124" s="2335"/>
      <c r="K124" s="2335"/>
      <c r="L124" s="2336"/>
      <c r="M124" s="2205"/>
      <c r="N124" s="2352"/>
      <c r="O124" s="2352"/>
      <c r="P124" s="6762"/>
      <c r="Q124" s="2353"/>
      <c r="R124" s="2354"/>
      <c r="S124" s="3410"/>
      <c r="T124" s="3411" t="s">
        <v>532</v>
      </c>
      <c r="U124" s="3412"/>
      <c r="V124" s="3413"/>
      <c r="W124" s="3414"/>
      <c r="X124" s="3415"/>
      <c r="Y124" s="3416"/>
      <c r="Z124" s="3417"/>
      <c r="AA124" s="3418"/>
      <c r="AB124" s="3419"/>
      <c r="AC124" s="3420"/>
      <c r="AD124" s="3421"/>
      <c r="AE124" s="3422"/>
      <c r="AF124" s="3423"/>
      <c r="AG124" s="3424"/>
      <c r="AH124" s="3425"/>
      <c r="AI124" s="3426"/>
      <c r="AJ124" s="3427"/>
      <c r="AK124" s="3428"/>
      <c r="AL124" s="3429"/>
      <c r="AM124" s="3430"/>
      <c r="AN124" s="3431"/>
      <c r="AO124" s="3432"/>
      <c r="AP124" s="3433"/>
      <c r="AQ124" s="3434"/>
      <c r="AR124" s="3435"/>
      <c r="AS124" s="3436"/>
      <c r="AT124" s="3437"/>
      <c r="AU124" s="3438"/>
      <c r="AV124" s="3439"/>
      <c r="AW124" s="3440"/>
      <c r="AX124" s="3441"/>
      <c r="AY124" s="3442"/>
      <c r="AZ124" s="3443"/>
      <c r="BA124" s="3444"/>
      <c r="BB124" s="3445"/>
      <c r="BC124" s="3446"/>
      <c r="BD124" s="3447"/>
      <c r="BE124" s="3448"/>
      <c r="BF124" s="3449"/>
      <c r="BG124" s="3450"/>
      <c r="BH124" s="3451"/>
      <c r="BI124" s="3452"/>
      <c r="BJ124" s="3453"/>
      <c r="BK124" s="3454"/>
      <c r="BL124" s="3455"/>
      <c r="BM124" s="3456"/>
      <c r="BN124" s="3457"/>
      <c r="BO124" s="3458"/>
      <c r="BP124" s="3459"/>
      <c r="BQ124" s="3460"/>
      <c r="BR124" s="3461"/>
      <c r="BS124" s="3462"/>
      <c r="BT124" s="3463"/>
      <c r="BU124" s="3464"/>
      <c r="BV124" s="3465"/>
      <c r="BW124" s="3466"/>
      <c r="BX124" s="3467"/>
      <c r="BY124" s="3468"/>
      <c r="BZ124" s="3469"/>
      <c r="CA124" s="3470"/>
      <c r="CB124" s="2211"/>
      <c r="CC124" s="2345"/>
      <c r="CD124" s="2345" t="str">
        <f t="shared" si="3"/>
        <v>Добавить группу потребителей</v>
      </c>
      <c r="CE124" s="2345"/>
      <c r="CF124" s="2345"/>
    </row>
    <row r="125" spans="1:84" s="3471" customFormat="1" ht="14.25" customHeight="1">
      <c r="A125" s="2335"/>
      <c r="B125" s="2335"/>
      <c r="C125" s="2335"/>
      <c r="D125" s="2335"/>
      <c r="E125" s="6764"/>
      <c r="F125" s="6764" t="s">
        <v>91</v>
      </c>
      <c r="G125" s="6764"/>
      <c r="H125" s="6763"/>
      <c r="I125" s="2335"/>
      <c r="J125" s="2335"/>
      <c r="K125" s="2335"/>
      <c r="L125" s="2336"/>
      <c r="M125" s="2337"/>
      <c r="N125" s="2337"/>
      <c r="O125" s="2205"/>
      <c r="P125" s="2487"/>
      <c r="Q125" s="2488"/>
      <c r="R125" s="2489"/>
      <c r="S125" s="3472"/>
      <c r="T125" s="3473" t="s">
        <v>533</v>
      </c>
      <c r="U125" s="3474"/>
      <c r="V125" s="3475"/>
      <c r="W125" s="3476"/>
      <c r="X125" s="3477"/>
      <c r="Y125" s="3478"/>
      <c r="Z125" s="3479"/>
      <c r="AA125" s="3480"/>
      <c r="AB125" s="3481"/>
      <c r="AC125" s="3482"/>
      <c r="AD125" s="3483"/>
      <c r="AE125" s="3484"/>
      <c r="AF125" s="3485"/>
      <c r="AG125" s="3486"/>
      <c r="AH125" s="3487"/>
      <c r="AI125" s="3488"/>
      <c r="AJ125" s="3489"/>
      <c r="AK125" s="3490"/>
      <c r="AL125" s="3491"/>
      <c r="AM125" s="3492"/>
      <c r="AN125" s="3493"/>
      <c r="AO125" s="3494"/>
      <c r="AP125" s="3495"/>
      <c r="AQ125" s="3496"/>
      <c r="AR125" s="3497"/>
      <c r="AS125" s="3498"/>
      <c r="AT125" s="3499"/>
      <c r="AU125" s="3500"/>
      <c r="AV125" s="3501"/>
      <c r="AW125" s="3502"/>
      <c r="AX125" s="3503"/>
      <c r="AY125" s="3504"/>
      <c r="AZ125" s="3505"/>
      <c r="BA125" s="3506"/>
      <c r="BB125" s="3507"/>
      <c r="BC125" s="3508"/>
      <c r="BD125" s="3509"/>
      <c r="BE125" s="3510"/>
      <c r="BF125" s="3511"/>
      <c r="BG125" s="3512"/>
      <c r="BH125" s="3513"/>
      <c r="BI125" s="3514"/>
      <c r="BJ125" s="3515"/>
      <c r="BK125" s="3516"/>
      <c r="BL125" s="3517"/>
      <c r="BM125" s="3518"/>
      <c r="BN125" s="3519"/>
      <c r="BO125" s="3520"/>
      <c r="BP125" s="3521"/>
      <c r="BQ125" s="3522"/>
      <c r="BR125" s="3523"/>
      <c r="BS125" s="3524"/>
      <c r="BT125" s="3525"/>
      <c r="BU125" s="3526"/>
      <c r="BV125" s="3527"/>
      <c r="BW125" s="3528"/>
      <c r="BX125" s="3529"/>
      <c r="BY125" s="3530"/>
      <c r="BZ125" s="3531"/>
      <c r="CA125" s="3532"/>
      <c r="CB125" s="2211"/>
      <c r="CC125" s="2345"/>
      <c r="CD125" s="2345" t="str">
        <f t="shared" si="3"/>
        <v>Добавить схему подключения</v>
      </c>
      <c r="CE125" s="2345"/>
      <c r="CF125" s="2345"/>
    </row>
    <row r="126" spans="1:84" s="3533" customFormat="1" ht="0.75" customHeight="1">
      <c r="A126" s="2552"/>
      <c r="B126" s="2552"/>
      <c r="C126" s="2552"/>
      <c r="D126" s="2552"/>
      <c r="E126" s="6764"/>
      <c r="F126" s="6764" t="s">
        <v>91</v>
      </c>
      <c r="G126" s="6763"/>
      <c r="H126" s="2552"/>
      <c r="I126" s="2552"/>
      <c r="J126" s="2552"/>
      <c r="K126" s="2552"/>
      <c r="L126" s="2553"/>
      <c r="M126" s="2554"/>
      <c r="N126" s="2554"/>
      <c r="O126" s="2211"/>
      <c r="P126" s="2555"/>
      <c r="Q126" s="2556"/>
      <c r="R126" s="2555"/>
      <c r="S126" s="2557"/>
      <c r="T126" s="2558" t="s">
        <v>228</v>
      </c>
      <c r="U126" s="2203"/>
      <c r="V126" s="2203"/>
      <c r="W126" s="2203"/>
      <c r="X126" s="2203"/>
      <c r="Y126" s="2203"/>
      <c r="Z126" s="2203"/>
      <c r="AA126" s="2203"/>
      <c r="AB126" s="2203"/>
      <c r="AC126" s="2203"/>
      <c r="AD126" s="2203"/>
      <c r="AE126" s="2203"/>
      <c r="AF126" s="2203"/>
      <c r="AG126" s="2203"/>
      <c r="AH126" s="2203"/>
      <c r="AI126" s="2203"/>
      <c r="AJ126" s="2203"/>
      <c r="AK126" s="2203"/>
      <c r="AL126" s="2203"/>
      <c r="AM126" s="2203"/>
      <c r="AN126" s="2203"/>
      <c r="AO126" s="2203"/>
      <c r="AP126" s="2203"/>
      <c r="AQ126" s="2203"/>
      <c r="AR126" s="2203"/>
      <c r="AS126" s="2203"/>
      <c r="AT126" s="2203"/>
      <c r="AU126" s="2203"/>
      <c r="AV126" s="2203"/>
      <c r="AW126" s="2203"/>
      <c r="AX126" s="2203"/>
      <c r="AY126" s="2203"/>
      <c r="AZ126" s="2203"/>
      <c r="BA126" s="2203"/>
      <c r="BB126" s="2203"/>
      <c r="BC126" s="2203"/>
      <c r="BD126" s="2203"/>
      <c r="BE126" s="2203"/>
      <c r="BF126" s="2203"/>
      <c r="BG126" s="2203"/>
      <c r="BH126" s="2203"/>
      <c r="BI126" s="2203"/>
      <c r="BJ126" s="2203"/>
      <c r="BK126" s="2203"/>
      <c r="BL126" s="2203"/>
      <c r="BM126" s="2203"/>
      <c r="BN126" s="2203"/>
      <c r="BO126" s="2203"/>
      <c r="BP126" s="2203"/>
      <c r="BQ126" s="2203"/>
      <c r="BR126" s="2203"/>
      <c r="BS126" s="2203"/>
      <c r="BT126" s="2203"/>
      <c r="BU126" s="2203"/>
      <c r="BV126" s="2203"/>
      <c r="BW126" s="2203"/>
      <c r="BX126" s="2203"/>
      <c r="BY126" s="2203"/>
      <c r="BZ126" s="2203"/>
      <c r="CA126" s="2203"/>
      <c r="CB126" s="2211"/>
      <c r="CC126" s="2345"/>
      <c r="CD126" s="2345" t="str">
        <f t="shared" si="3"/>
        <v>Добавить источник для дифференциации</v>
      </c>
      <c r="CE126" s="2345"/>
      <c r="CF126" s="2345"/>
    </row>
    <row r="127" spans="1:84" s="3534" customFormat="1" ht="0.75" customHeight="1">
      <c r="A127" s="2552"/>
      <c r="B127" s="2552"/>
      <c r="C127" s="2552"/>
      <c r="D127" s="2552"/>
      <c r="E127" s="6764"/>
      <c r="F127" s="6763" t="s">
        <v>91</v>
      </c>
      <c r="G127" s="2552"/>
      <c r="H127" s="2552"/>
      <c r="I127" s="2552"/>
      <c r="J127" s="2552"/>
      <c r="K127" s="2552"/>
      <c r="L127" s="2553"/>
      <c r="M127" s="2560"/>
      <c r="N127" s="2560"/>
      <c r="O127" s="2211"/>
      <c r="P127" s="2555"/>
      <c r="Q127" s="2556"/>
      <c r="R127" s="2555"/>
      <c r="S127" s="2561"/>
      <c r="T127" s="2562" t="s">
        <v>229</v>
      </c>
      <c r="U127" s="2204"/>
      <c r="V127" s="2204"/>
      <c r="W127" s="2204"/>
      <c r="X127" s="2204"/>
      <c r="Y127" s="2204"/>
      <c r="Z127" s="2204"/>
      <c r="AA127" s="2204"/>
      <c r="AB127" s="2204"/>
      <c r="AC127" s="2204"/>
      <c r="AD127" s="2204"/>
      <c r="AE127" s="2204"/>
      <c r="AF127" s="2204"/>
      <c r="AG127" s="2204"/>
      <c r="AH127" s="2204"/>
      <c r="AI127" s="2204"/>
      <c r="AJ127" s="2204"/>
      <c r="AK127" s="2204"/>
      <c r="AL127" s="2204"/>
      <c r="AM127" s="2204"/>
      <c r="AN127" s="2204"/>
      <c r="AO127" s="2204"/>
      <c r="AP127" s="2204"/>
      <c r="AQ127" s="2204"/>
      <c r="AR127" s="2204"/>
      <c r="AS127" s="2204"/>
      <c r="AT127" s="2204"/>
      <c r="AU127" s="2204"/>
      <c r="AV127" s="2204"/>
      <c r="AW127" s="2204"/>
      <c r="AX127" s="2204"/>
      <c r="AY127" s="2204"/>
      <c r="AZ127" s="2204"/>
      <c r="BA127" s="2204"/>
      <c r="BB127" s="2204"/>
      <c r="BC127" s="2204"/>
      <c r="BD127" s="2204"/>
      <c r="BE127" s="2204"/>
      <c r="BF127" s="2204"/>
      <c r="BG127" s="2204"/>
      <c r="BH127" s="2204"/>
      <c r="BI127" s="2204"/>
      <c r="BJ127" s="2204"/>
      <c r="BK127" s="2204"/>
      <c r="BL127" s="2204"/>
      <c r="BM127" s="2204"/>
      <c r="BN127" s="2204"/>
      <c r="BO127" s="2204"/>
      <c r="BP127" s="2204"/>
      <c r="BQ127" s="2204"/>
      <c r="BR127" s="2204"/>
      <c r="BS127" s="2204"/>
      <c r="BT127" s="2204"/>
      <c r="BU127" s="2204"/>
      <c r="BV127" s="2204"/>
      <c r="BW127" s="2204"/>
      <c r="BX127" s="2204"/>
      <c r="BY127" s="2204"/>
      <c r="BZ127" s="2204"/>
      <c r="CA127" s="2204"/>
      <c r="CB127" s="2211"/>
      <c r="CC127" s="2345"/>
      <c r="CD127" s="2345" t="str">
        <f t="shared" si="3"/>
        <v>Добавить централизованную систему для дифференциации</v>
      </c>
      <c r="CE127" s="2345"/>
      <c r="CF127" s="2345"/>
    </row>
    <row r="128" spans="1:84" s="3535" customFormat="1" ht="21" customHeight="1">
      <c r="A128" s="2335"/>
      <c r="B128" s="2335" t="s">
        <v>248</v>
      </c>
      <c r="C128" s="2335"/>
      <c r="D128" s="2335"/>
      <c r="E128" s="6764"/>
      <c r="F128" s="6763" t="s">
        <v>128</v>
      </c>
      <c r="G128" s="2335"/>
      <c r="H128" s="2335"/>
      <c r="I128" s="2335"/>
      <c r="J128" s="2335"/>
      <c r="K128" s="2335"/>
      <c r="L128" s="2336"/>
      <c r="M128" s="2337"/>
      <c r="N128" s="2337"/>
      <c r="O128" s="2337"/>
      <c r="P128" s="2338"/>
      <c r="Q128" s="2339"/>
      <c r="R128" s="2340"/>
      <c r="S128" s="2341" t="str">
        <f>INDEX(PT_DIFFERENTIATION_NUM_TER,MATCH(B128,PT_DIFFERENTIATION_TER_ID,0))</f>
        <v>1.8</v>
      </c>
      <c r="T128" s="2342" t="s">
        <v>517</v>
      </c>
      <c r="U128" s="2343"/>
      <c r="V128" s="6749"/>
      <c r="W128" s="6750"/>
      <c r="X128" s="6750"/>
      <c r="Y128" s="6750"/>
      <c r="Z128" s="6750"/>
      <c r="AA128" s="6750"/>
      <c r="AB128" s="6750"/>
      <c r="AC128" s="6751"/>
      <c r="AD128" s="6749" t="str">
        <f>INDEX(PT_DIFFERENTIATION_TER,MATCH(B128,PT_DIFFERENTIATION_TER_ID,0))</f>
        <v>Территория 7</v>
      </c>
      <c r="AE128" s="6750"/>
      <c r="AF128" s="6750"/>
      <c r="AG128" s="6750"/>
      <c r="AH128" s="6750"/>
      <c r="AI128" s="6750"/>
      <c r="AJ128" s="6750"/>
      <c r="AK128" s="6750"/>
      <c r="AL128" s="6749"/>
      <c r="AM128" s="6750"/>
      <c r="AN128" s="6750"/>
      <c r="AO128" s="6750"/>
      <c r="AP128" s="6750"/>
      <c r="AQ128" s="6750"/>
      <c r="AR128" s="6750"/>
      <c r="AS128" s="6751"/>
      <c r="AT128" s="6749"/>
      <c r="AU128" s="6750"/>
      <c r="AV128" s="6750"/>
      <c r="AW128" s="6750"/>
      <c r="AX128" s="6750"/>
      <c r="AY128" s="6750"/>
      <c r="AZ128" s="6750"/>
      <c r="BA128" s="6751"/>
      <c r="BB128" s="6749"/>
      <c r="BC128" s="6750"/>
      <c r="BD128" s="6750"/>
      <c r="BE128" s="6750"/>
      <c r="BF128" s="6750"/>
      <c r="BG128" s="6750"/>
      <c r="BH128" s="6750"/>
      <c r="BI128" s="6751"/>
      <c r="BJ128" s="6749"/>
      <c r="BK128" s="6750"/>
      <c r="BL128" s="6750"/>
      <c r="BM128" s="6750"/>
      <c r="BN128" s="6750"/>
      <c r="BO128" s="6750"/>
      <c r="BP128" s="6750"/>
      <c r="BQ128" s="6751"/>
      <c r="BR128" s="6749"/>
      <c r="BS128" s="6750"/>
      <c r="BT128" s="6750"/>
      <c r="BU128" s="6750"/>
      <c r="BV128" s="6750"/>
      <c r="BW128" s="6750"/>
      <c r="BX128" s="6750"/>
      <c r="BY128" s="6751"/>
      <c r="BZ128" s="6751"/>
      <c r="CA128" s="2344" t="s">
        <v>518</v>
      </c>
      <c r="CB128" s="2211"/>
      <c r="CC128" s="2345"/>
      <c r="CD128" s="2345" t="str">
        <f t="shared" si="3"/>
        <v>Территория действия тарифа</v>
      </c>
      <c r="CE128" s="2345"/>
      <c r="CF128" s="2345"/>
    </row>
    <row r="129" spans="1:84" s="3536" customFormat="1" ht="23.25" customHeight="1">
      <c r="A129" s="2335"/>
      <c r="B129" s="2335"/>
      <c r="C129" s="2335" t="s">
        <v>249</v>
      </c>
      <c r="D129" s="2335"/>
      <c r="E129" s="6764"/>
      <c r="F129" s="6764" t="s">
        <v>92</v>
      </c>
      <c r="G129" s="6763">
        <v>1</v>
      </c>
      <c r="H129" s="2335"/>
      <c r="I129" s="2335"/>
      <c r="J129" s="2335"/>
      <c r="K129" s="2335"/>
      <c r="L129" s="2336"/>
      <c r="M129" s="2337"/>
      <c r="N129" s="2337"/>
      <c r="O129" s="2337"/>
      <c r="P129" s="2347"/>
      <c r="Q129" s="2339"/>
      <c r="R129" s="2340"/>
      <c r="S129" s="2341" t="str">
        <f>INDEX(PT_DIFFERENTIATION_NUM_CS,MATCH(C129,PT_DIFFERENTIATION_CS_ID,0))</f>
        <v>1.8.1</v>
      </c>
      <c r="T129" s="2348" t="s">
        <v>519</v>
      </c>
      <c r="U129" s="2343"/>
      <c r="V129" s="6749"/>
      <c r="W129" s="6750"/>
      <c r="X129" s="6750"/>
      <c r="Y129" s="6750"/>
      <c r="Z129" s="6750"/>
      <c r="AA129" s="6750"/>
      <c r="AB129" s="6750"/>
      <c r="AC129" s="6751"/>
      <c r="AD129" s="6749" t="str">
        <f>INDEX(PT_DIFFERENTIATION_CS,MATCH(C129,PT_DIFFERENTIATION_CS_ID,0))</f>
        <v>без дифференциации</v>
      </c>
      <c r="AE129" s="6750"/>
      <c r="AF129" s="6750"/>
      <c r="AG129" s="6750"/>
      <c r="AH129" s="6750"/>
      <c r="AI129" s="6750"/>
      <c r="AJ129" s="6750"/>
      <c r="AK129" s="6750"/>
      <c r="AL129" s="6749"/>
      <c r="AM129" s="6750"/>
      <c r="AN129" s="6750"/>
      <c r="AO129" s="6750"/>
      <c r="AP129" s="6750"/>
      <c r="AQ129" s="6750"/>
      <c r="AR129" s="6750"/>
      <c r="AS129" s="6751"/>
      <c r="AT129" s="6749"/>
      <c r="AU129" s="6750"/>
      <c r="AV129" s="6750"/>
      <c r="AW129" s="6750"/>
      <c r="AX129" s="6750"/>
      <c r="AY129" s="6750"/>
      <c r="AZ129" s="6750"/>
      <c r="BA129" s="6751"/>
      <c r="BB129" s="6749"/>
      <c r="BC129" s="6750"/>
      <c r="BD129" s="6750"/>
      <c r="BE129" s="6750"/>
      <c r="BF129" s="6750"/>
      <c r="BG129" s="6750"/>
      <c r="BH129" s="6750"/>
      <c r="BI129" s="6751"/>
      <c r="BJ129" s="6749"/>
      <c r="BK129" s="6750"/>
      <c r="BL129" s="6750"/>
      <c r="BM129" s="6750"/>
      <c r="BN129" s="6750"/>
      <c r="BO129" s="6750"/>
      <c r="BP129" s="6750"/>
      <c r="BQ129" s="6751"/>
      <c r="BR129" s="6749"/>
      <c r="BS129" s="6750"/>
      <c r="BT129" s="6750"/>
      <c r="BU129" s="6750"/>
      <c r="BV129" s="6750"/>
      <c r="BW129" s="6750"/>
      <c r="BX129" s="6750"/>
      <c r="BY129" s="6751"/>
      <c r="BZ129" s="6751"/>
      <c r="CA129" s="2344" t="s">
        <v>520</v>
      </c>
      <c r="CB129" s="2211"/>
      <c r="CC129" s="2345"/>
      <c r="CD129" s="2345" t="str">
        <f t="shared" si="3"/>
        <v xml:space="preserve">Наименование системы теплоснабжения </v>
      </c>
      <c r="CE129" s="2345"/>
      <c r="CF129" s="2345"/>
    </row>
    <row r="130" spans="1:84" s="3537" customFormat="1" ht="21" customHeight="1">
      <c r="A130" s="2335"/>
      <c r="B130" s="2335"/>
      <c r="C130" s="2335"/>
      <c r="D130" s="2335" t="s">
        <v>250</v>
      </c>
      <c r="E130" s="6764"/>
      <c r="F130" s="6764" t="s">
        <v>92</v>
      </c>
      <c r="G130" s="6764"/>
      <c r="H130" s="6763">
        <v>1</v>
      </c>
      <c r="I130" s="2335"/>
      <c r="J130" s="2335"/>
      <c r="K130" s="2335"/>
      <c r="L130" s="2336"/>
      <c r="M130" s="2337"/>
      <c r="N130" s="2337"/>
      <c r="O130" s="2337"/>
      <c r="P130" s="2347"/>
      <c r="Q130" s="2339"/>
      <c r="R130" s="2340"/>
      <c r="S130" s="2341" t="str">
        <f>INDEX(PT_DIFFERENTIATION_NUM_IST_TE,MATCH(D130,PT_DIFFERENTIATION_IST_TE_ID,0))</f>
        <v>1.8.1.1</v>
      </c>
      <c r="T130" s="2350" t="s">
        <v>521</v>
      </c>
      <c r="U130" s="2343"/>
      <c r="V130" s="6749"/>
      <c r="W130" s="6750"/>
      <c r="X130" s="6750"/>
      <c r="Y130" s="6750"/>
      <c r="Z130" s="6750"/>
      <c r="AA130" s="6750"/>
      <c r="AB130" s="6750"/>
      <c r="AC130" s="6751"/>
      <c r="AD130" s="6749" t="str">
        <f>INDEX(PT_DIFFERENTIATION_IST_TE,MATCH(D130,PT_DIFFERENTIATION_IST_TE_ID,0))</f>
        <v>без дифференциации</v>
      </c>
      <c r="AE130" s="6750"/>
      <c r="AF130" s="6750"/>
      <c r="AG130" s="6750"/>
      <c r="AH130" s="6750"/>
      <c r="AI130" s="6750"/>
      <c r="AJ130" s="6750"/>
      <c r="AK130" s="6750"/>
      <c r="AL130" s="6749"/>
      <c r="AM130" s="6750"/>
      <c r="AN130" s="6750"/>
      <c r="AO130" s="6750"/>
      <c r="AP130" s="6750"/>
      <c r="AQ130" s="6750"/>
      <c r="AR130" s="6750"/>
      <c r="AS130" s="6751"/>
      <c r="AT130" s="6749"/>
      <c r="AU130" s="6750"/>
      <c r="AV130" s="6750"/>
      <c r="AW130" s="6750"/>
      <c r="AX130" s="6750"/>
      <c r="AY130" s="6750"/>
      <c r="AZ130" s="6750"/>
      <c r="BA130" s="6751"/>
      <c r="BB130" s="6749"/>
      <c r="BC130" s="6750"/>
      <c r="BD130" s="6750"/>
      <c r="BE130" s="6750"/>
      <c r="BF130" s="6750"/>
      <c r="BG130" s="6750"/>
      <c r="BH130" s="6750"/>
      <c r="BI130" s="6751"/>
      <c r="BJ130" s="6749"/>
      <c r="BK130" s="6750"/>
      <c r="BL130" s="6750"/>
      <c r="BM130" s="6750"/>
      <c r="BN130" s="6750"/>
      <c r="BO130" s="6750"/>
      <c r="BP130" s="6750"/>
      <c r="BQ130" s="6751"/>
      <c r="BR130" s="6749"/>
      <c r="BS130" s="6750"/>
      <c r="BT130" s="6750"/>
      <c r="BU130" s="6750"/>
      <c r="BV130" s="6750"/>
      <c r="BW130" s="6750"/>
      <c r="BX130" s="6750"/>
      <c r="BY130" s="6751"/>
      <c r="BZ130" s="6751"/>
      <c r="CA130" s="2344" t="s">
        <v>522</v>
      </c>
      <c r="CB130" s="2211"/>
      <c r="CC130" s="2345"/>
      <c r="CD130" s="2345" t="str">
        <f t="shared" si="3"/>
        <v xml:space="preserve">Источник тепловой энергии  </v>
      </c>
      <c r="CE130" s="2345"/>
      <c r="CF130" s="2345"/>
    </row>
    <row r="131" spans="1:84" s="3538" customFormat="1" ht="47.25" customHeight="1">
      <c r="A131" s="2335"/>
      <c r="B131" s="2335"/>
      <c r="C131" s="2335"/>
      <c r="D131" s="2335"/>
      <c r="E131" s="6764"/>
      <c r="F131" s="6764" t="s">
        <v>92</v>
      </c>
      <c r="G131" s="6764"/>
      <c r="H131" s="6764"/>
      <c r="I131" s="6761" t="str">
        <f>S130&amp;".1"</f>
        <v>1.8.1.1.1</v>
      </c>
      <c r="J131" s="2335"/>
      <c r="K131" s="2335"/>
      <c r="L131" s="2336" t="s">
        <v>523</v>
      </c>
      <c r="M131" s="2205"/>
      <c r="N131" s="2352"/>
      <c r="O131" s="2352"/>
      <c r="P131" s="6762">
        <v>1</v>
      </c>
      <c r="Q131" s="2353"/>
      <c r="R131" s="2354"/>
      <c r="S131" s="2341" t="str">
        <f>$I131</f>
        <v>1.8.1.1.1</v>
      </c>
      <c r="T131" s="2355" t="s">
        <v>524</v>
      </c>
      <c r="U131" s="2343"/>
      <c r="V131" s="6752"/>
      <c r="W131" s="6753"/>
      <c r="X131" s="6753"/>
      <c r="Y131" s="6753"/>
      <c r="Z131" s="6753"/>
      <c r="AA131" s="6753"/>
      <c r="AB131" s="6753"/>
      <c r="AC131" s="6754"/>
      <c r="AD131" s="6752" t="s">
        <v>566</v>
      </c>
      <c r="AE131" s="6753"/>
      <c r="AF131" s="6753"/>
      <c r="AG131" s="6753"/>
      <c r="AH131" s="6753"/>
      <c r="AI131" s="6753"/>
      <c r="AJ131" s="6753"/>
      <c r="AK131" s="6753"/>
      <c r="AL131" s="6752"/>
      <c r="AM131" s="6753"/>
      <c r="AN131" s="6753"/>
      <c r="AO131" s="6753"/>
      <c r="AP131" s="6753"/>
      <c r="AQ131" s="6753"/>
      <c r="AR131" s="6753"/>
      <c r="AS131" s="6754"/>
      <c r="AT131" s="6752"/>
      <c r="AU131" s="6753"/>
      <c r="AV131" s="6753"/>
      <c r="AW131" s="6753"/>
      <c r="AX131" s="6753"/>
      <c r="AY131" s="6753"/>
      <c r="AZ131" s="6753"/>
      <c r="BA131" s="6754"/>
      <c r="BB131" s="6752"/>
      <c r="BC131" s="6753"/>
      <c r="BD131" s="6753"/>
      <c r="BE131" s="6753"/>
      <c r="BF131" s="6753"/>
      <c r="BG131" s="6753"/>
      <c r="BH131" s="6753"/>
      <c r="BI131" s="6754"/>
      <c r="BJ131" s="6752"/>
      <c r="BK131" s="6753"/>
      <c r="BL131" s="6753"/>
      <c r="BM131" s="6753"/>
      <c r="BN131" s="6753"/>
      <c r="BO131" s="6753"/>
      <c r="BP131" s="6753"/>
      <c r="BQ131" s="6754"/>
      <c r="BR131" s="6752"/>
      <c r="BS131" s="6753"/>
      <c r="BT131" s="6753"/>
      <c r="BU131" s="6753"/>
      <c r="BV131" s="6753"/>
      <c r="BW131" s="6753"/>
      <c r="BX131" s="6753"/>
      <c r="BY131" s="6754"/>
      <c r="BZ131" s="6754"/>
      <c r="CA131" s="2344" t="s">
        <v>525</v>
      </c>
      <c r="CB131" s="2211"/>
      <c r="CC131" s="2345"/>
      <c r="CD131" s="2345" t="str">
        <f t="shared" si="3"/>
        <v>Схема подключения теплопотребляющей установки к коллектору источника тепловой энергии</v>
      </c>
      <c r="CE131" s="2345"/>
      <c r="CF131" s="2345"/>
    </row>
    <row r="132" spans="1:84" s="3539" customFormat="1" ht="21" customHeight="1">
      <c r="A132" s="2335"/>
      <c r="B132" s="2335"/>
      <c r="C132" s="2335"/>
      <c r="D132" s="2335"/>
      <c r="E132" s="6764"/>
      <c r="F132" s="6764" t="s">
        <v>92</v>
      </c>
      <c r="G132" s="6764"/>
      <c r="H132" s="6764"/>
      <c r="I132" s="6784"/>
      <c r="J132" s="6761" t="str">
        <f>I131&amp;".1"</f>
        <v>1.8.1.1.1.1</v>
      </c>
      <c r="K132" s="2335"/>
      <c r="L132" s="2336" t="s">
        <v>526</v>
      </c>
      <c r="M132" s="2205"/>
      <c r="N132" s="2205"/>
      <c r="O132" s="2352"/>
      <c r="P132" s="6762"/>
      <c r="Q132" s="6762">
        <v>1</v>
      </c>
      <c r="R132" s="2357"/>
      <c r="S132" s="2341" t="str">
        <f>$J132</f>
        <v>1.8.1.1.1.1</v>
      </c>
      <c r="T132" s="2358" t="s">
        <v>527</v>
      </c>
      <c r="U132" s="2343"/>
      <c r="V132" s="6752"/>
      <c r="W132" s="6753"/>
      <c r="X132" s="6753"/>
      <c r="Y132" s="6753"/>
      <c r="Z132" s="6753"/>
      <c r="AA132" s="6753"/>
      <c r="AB132" s="6753"/>
      <c r="AC132" s="6754"/>
      <c r="AD132" s="6752" t="s">
        <v>566</v>
      </c>
      <c r="AE132" s="6753"/>
      <c r="AF132" s="6753"/>
      <c r="AG132" s="6753"/>
      <c r="AH132" s="6753"/>
      <c r="AI132" s="6753"/>
      <c r="AJ132" s="6753"/>
      <c r="AK132" s="6753"/>
      <c r="AL132" s="6752"/>
      <c r="AM132" s="6753"/>
      <c r="AN132" s="6753"/>
      <c r="AO132" s="6753"/>
      <c r="AP132" s="6753"/>
      <c r="AQ132" s="6753"/>
      <c r="AR132" s="6753"/>
      <c r="AS132" s="6754"/>
      <c r="AT132" s="6752"/>
      <c r="AU132" s="6753"/>
      <c r="AV132" s="6753"/>
      <c r="AW132" s="6753"/>
      <c r="AX132" s="6753"/>
      <c r="AY132" s="6753"/>
      <c r="AZ132" s="6753"/>
      <c r="BA132" s="6754"/>
      <c r="BB132" s="6752"/>
      <c r="BC132" s="6753"/>
      <c r="BD132" s="6753"/>
      <c r="BE132" s="6753"/>
      <c r="BF132" s="6753"/>
      <c r="BG132" s="6753"/>
      <c r="BH132" s="6753"/>
      <c r="BI132" s="6754"/>
      <c r="BJ132" s="6752"/>
      <c r="BK132" s="6753"/>
      <c r="BL132" s="6753"/>
      <c r="BM132" s="6753"/>
      <c r="BN132" s="6753"/>
      <c r="BO132" s="6753"/>
      <c r="BP132" s="6753"/>
      <c r="BQ132" s="6754"/>
      <c r="BR132" s="6752"/>
      <c r="BS132" s="6753"/>
      <c r="BT132" s="6753"/>
      <c r="BU132" s="6753"/>
      <c r="BV132" s="6753"/>
      <c r="BW132" s="6753"/>
      <c r="BX132" s="6753"/>
      <c r="BY132" s="6754"/>
      <c r="BZ132" s="6754"/>
      <c r="CA132" s="2344" t="s">
        <v>528</v>
      </c>
      <c r="CB132" s="2211"/>
      <c r="CC132" s="2345"/>
      <c r="CD132" s="2345" t="str">
        <f t="shared" si="3"/>
        <v>Группа потребителей</v>
      </c>
      <c r="CE132" s="2345"/>
      <c r="CF132" s="2345"/>
    </row>
    <row r="133" spans="1:84" s="3540" customFormat="1" ht="21" customHeight="1">
      <c r="A133" s="2335"/>
      <c r="B133" s="2335"/>
      <c r="C133" s="2335"/>
      <c r="D133" s="2335"/>
      <c r="E133" s="6764"/>
      <c r="F133" s="6764" t="s">
        <v>92</v>
      </c>
      <c r="G133" s="6764"/>
      <c r="H133" s="6764"/>
      <c r="I133" s="6784"/>
      <c r="J133" s="6784"/>
      <c r="K133" s="6761" t="str">
        <f>J132&amp;".1"</f>
        <v>1.8.1.1.1.1.1</v>
      </c>
      <c r="L133" s="2336" t="s">
        <v>529</v>
      </c>
      <c r="M133" s="2205"/>
      <c r="N133" s="2205"/>
      <c r="O133" s="2205"/>
      <c r="P133" s="6762"/>
      <c r="Q133" s="6762"/>
      <c r="R133" s="2357">
        <v>1</v>
      </c>
      <c r="S133" s="2341" t="str">
        <f>$K133</f>
        <v>1.8.1.1.1.1.1</v>
      </c>
      <c r="T133" s="2360" t="s">
        <v>567</v>
      </c>
      <c r="U133" s="2343"/>
      <c r="V133" s="2763"/>
      <c r="W133" s="2763"/>
      <c r="X133" s="2763"/>
      <c r="Y133" s="2764"/>
      <c r="Z133" s="6768"/>
      <c r="AA133" s="6769" t="s">
        <v>61</v>
      </c>
      <c r="AB133" s="6768"/>
      <c r="AC133" s="6769" t="s">
        <v>61</v>
      </c>
      <c r="AD133" s="2078">
        <v>2063.4499999999998</v>
      </c>
      <c r="AE133" s="2079"/>
      <c r="AF133" s="2078"/>
      <c r="AG133" s="2080"/>
      <c r="AH133" s="6766">
        <v>45292.660474537035</v>
      </c>
      <c r="AI133" s="6610" t="s">
        <v>61</v>
      </c>
      <c r="AJ133" s="6766">
        <v>45838.660578703704</v>
      </c>
      <c r="AK133" s="6610" t="s">
        <v>61</v>
      </c>
      <c r="AL133" s="2078">
        <v>2325.1799999999998</v>
      </c>
      <c r="AM133" s="2079"/>
      <c r="AN133" s="2078"/>
      <c r="AO133" s="2080"/>
      <c r="AP133" s="6766">
        <v>45839.660787037035</v>
      </c>
      <c r="AQ133" s="6610" t="s">
        <v>61</v>
      </c>
      <c r="AR133" s="6766">
        <v>46203.660983796297</v>
      </c>
      <c r="AS133" s="6610" t="s">
        <v>61</v>
      </c>
      <c r="AT133" s="2078">
        <v>2404.39</v>
      </c>
      <c r="AU133" s="2079"/>
      <c r="AV133" s="2078"/>
      <c r="AW133" s="2080"/>
      <c r="AX133" s="6766">
        <v>46204.661215277774</v>
      </c>
      <c r="AY133" s="6610" t="s">
        <v>61</v>
      </c>
      <c r="AZ133" s="6766">
        <v>46568.661412037036</v>
      </c>
      <c r="BA133" s="6610" t="s">
        <v>61</v>
      </c>
      <c r="BB133" s="2078">
        <v>2487.8000000000002</v>
      </c>
      <c r="BC133" s="2079"/>
      <c r="BD133" s="2078"/>
      <c r="BE133" s="2080"/>
      <c r="BF133" s="6766">
        <v>46569.661689814813</v>
      </c>
      <c r="BG133" s="6610" t="s">
        <v>61</v>
      </c>
      <c r="BH133" s="6766">
        <v>46934.661932870367</v>
      </c>
      <c r="BI133" s="6610" t="s">
        <v>61</v>
      </c>
      <c r="BJ133" s="2078">
        <v>2574.25</v>
      </c>
      <c r="BK133" s="2079"/>
      <c r="BL133" s="2078"/>
      <c r="BM133" s="2080"/>
      <c r="BN133" s="6766">
        <v>46935.662175925929</v>
      </c>
      <c r="BO133" s="6610" t="s">
        <v>61</v>
      </c>
      <c r="BP133" s="6766">
        <v>47118.662314814814</v>
      </c>
      <c r="BQ133" s="6610" t="s">
        <v>56</v>
      </c>
      <c r="BR133" s="2763"/>
      <c r="BS133" s="2763"/>
      <c r="BT133" s="2763"/>
      <c r="BU133" s="2764"/>
      <c r="BV133" s="6768"/>
      <c r="BW133" s="6769" t="s">
        <v>61</v>
      </c>
      <c r="BX133" s="6768"/>
      <c r="BY133" s="6769" t="s">
        <v>61</v>
      </c>
      <c r="BZ133" s="2079"/>
      <c r="CA133" s="6758" t="s">
        <v>530</v>
      </c>
      <c r="CB133" s="2211" t="e">
        <f ca="1">STRCHECKDATE(V134:BZ134)</f>
        <v>#NAME?</v>
      </c>
      <c r="CC133" s="2345"/>
      <c r="CD133" s="2345" t="str">
        <f t="shared" si="3"/>
        <v>вода</v>
      </c>
      <c r="CE133" s="2345"/>
      <c r="CF133" s="2345"/>
    </row>
    <row r="134" spans="1:84" s="3541" customFormat="1" ht="0.75" customHeight="1">
      <c r="A134" s="2335"/>
      <c r="B134" s="2335"/>
      <c r="C134" s="2335"/>
      <c r="D134" s="2335"/>
      <c r="E134" s="6764"/>
      <c r="F134" s="6764" t="s">
        <v>92</v>
      </c>
      <c r="G134" s="6764"/>
      <c r="H134" s="6764"/>
      <c r="I134" s="6784"/>
      <c r="J134" s="6784"/>
      <c r="K134" s="6761"/>
      <c r="L134" s="2336"/>
      <c r="M134" s="2205"/>
      <c r="N134" s="2205"/>
      <c r="O134" s="2205"/>
      <c r="P134" s="6762"/>
      <c r="Q134" s="6762"/>
      <c r="R134" s="2357"/>
      <c r="S134" s="2362"/>
      <c r="T134" s="2343"/>
      <c r="U134" s="2343"/>
      <c r="V134" s="2763"/>
      <c r="W134" s="2763"/>
      <c r="X134" s="2763"/>
      <c r="Y134" s="2082" t="str">
        <f>Z133&amp;"-"&amp;AB133</f>
        <v>-</v>
      </c>
      <c r="Z134" s="6769"/>
      <c r="AA134" s="6769"/>
      <c r="AB134" s="6769"/>
      <c r="AC134" s="6769"/>
      <c r="AD134" s="2079"/>
      <c r="AE134" s="2079"/>
      <c r="AF134" s="2079"/>
      <c r="AG134" s="2082" t="str">
        <f>AH133&amp;"-"&amp;AJ133</f>
        <v>45292,660474537-45838,6605787037</v>
      </c>
      <c r="AH134" s="6767"/>
      <c r="AI134" s="6610"/>
      <c r="AJ134" s="6767"/>
      <c r="AK134" s="6610"/>
      <c r="AL134" s="2079"/>
      <c r="AM134" s="2079"/>
      <c r="AN134" s="2079"/>
      <c r="AO134" s="2082" t="str">
        <f>AP133&amp;"-"&amp;AR133</f>
        <v>45839,660787037-46203,6609837963</v>
      </c>
      <c r="AP134" s="6767"/>
      <c r="AQ134" s="6610"/>
      <c r="AR134" s="6767"/>
      <c r="AS134" s="6610"/>
      <c r="AT134" s="2079"/>
      <c r="AU134" s="2079"/>
      <c r="AV134" s="2079"/>
      <c r="AW134" s="2082" t="str">
        <f>AX133&amp;"-"&amp;AZ133</f>
        <v>46204,6612152778-46568,661412037</v>
      </c>
      <c r="AX134" s="6767"/>
      <c r="AY134" s="6610"/>
      <c r="AZ134" s="6767"/>
      <c r="BA134" s="6610"/>
      <c r="BB134" s="2079"/>
      <c r="BC134" s="2079"/>
      <c r="BD134" s="2079"/>
      <c r="BE134" s="2082" t="str">
        <f>BF133&amp;"-"&amp;BH133</f>
        <v>46569,6616898148-46934,6619328704</v>
      </c>
      <c r="BF134" s="6767"/>
      <c r="BG134" s="6610"/>
      <c r="BH134" s="6767"/>
      <c r="BI134" s="6610"/>
      <c r="BJ134" s="2079"/>
      <c r="BK134" s="2079"/>
      <c r="BL134" s="2079"/>
      <c r="BM134" s="2082" t="str">
        <f>BN133&amp;"-"&amp;BP133</f>
        <v>46935,6621759259-47118,6623148148</v>
      </c>
      <c r="BN134" s="6767"/>
      <c r="BO134" s="6610"/>
      <c r="BP134" s="6767"/>
      <c r="BQ134" s="6610"/>
      <c r="BR134" s="2763"/>
      <c r="BS134" s="2763"/>
      <c r="BT134" s="2763"/>
      <c r="BU134" s="2082" t="str">
        <f>BV133&amp;"-"&amp;BX133</f>
        <v>-</v>
      </c>
      <c r="BV134" s="6769"/>
      <c r="BW134" s="6769"/>
      <c r="BX134" s="6769"/>
      <c r="BY134" s="6769"/>
      <c r="BZ134" s="2079"/>
      <c r="CA134" s="6759"/>
      <c r="CB134" s="2211"/>
      <c r="CC134" s="2345"/>
      <c r="CD134" s="2345" t="str">
        <f t="shared" si="3"/>
        <v/>
      </c>
      <c r="CE134" s="2345"/>
      <c r="CF134" s="2345"/>
    </row>
    <row r="135" spans="1:84" s="3542" customFormat="1" ht="15" customHeight="1">
      <c r="A135" s="2335"/>
      <c r="B135" s="2335"/>
      <c r="C135" s="2335"/>
      <c r="D135" s="2335"/>
      <c r="E135" s="6764"/>
      <c r="F135" s="6764" t="s">
        <v>92</v>
      </c>
      <c r="G135" s="6764"/>
      <c r="H135" s="6764"/>
      <c r="I135" s="6784"/>
      <c r="J135" s="6761"/>
      <c r="K135" s="2335"/>
      <c r="L135" s="2336"/>
      <c r="M135" s="2205"/>
      <c r="N135" s="2205"/>
      <c r="O135" s="2352"/>
      <c r="P135" s="6762"/>
      <c r="Q135" s="6762"/>
      <c r="R135" s="2354"/>
      <c r="S135" s="3543"/>
      <c r="T135" s="3544" t="s">
        <v>531</v>
      </c>
      <c r="U135" s="3545"/>
      <c r="V135" s="3546"/>
      <c r="W135" s="3547"/>
      <c r="X135" s="3548"/>
      <c r="Y135" s="3549"/>
      <c r="Z135" s="3550"/>
      <c r="AA135" s="3551"/>
      <c r="AB135" s="3552"/>
      <c r="AC135" s="3553"/>
      <c r="AD135" s="3554"/>
      <c r="AE135" s="3555"/>
      <c r="AF135" s="3556"/>
      <c r="AG135" s="3557"/>
      <c r="AH135" s="3558"/>
      <c r="AI135" s="3559"/>
      <c r="AJ135" s="3560"/>
      <c r="AK135" s="3561"/>
      <c r="AL135" s="3562"/>
      <c r="AM135" s="3563"/>
      <c r="AN135" s="3564"/>
      <c r="AO135" s="3565"/>
      <c r="AP135" s="3566"/>
      <c r="AQ135" s="3567"/>
      <c r="AR135" s="3568"/>
      <c r="AS135" s="3569"/>
      <c r="AT135" s="3570"/>
      <c r="AU135" s="3571"/>
      <c r="AV135" s="3572"/>
      <c r="AW135" s="3573"/>
      <c r="AX135" s="3574"/>
      <c r="AY135" s="3575"/>
      <c r="AZ135" s="3576"/>
      <c r="BA135" s="3577"/>
      <c r="BB135" s="3578"/>
      <c r="BC135" s="3579"/>
      <c r="BD135" s="3580"/>
      <c r="BE135" s="3581"/>
      <c r="BF135" s="3582"/>
      <c r="BG135" s="3583"/>
      <c r="BH135" s="3584"/>
      <c r="BI135" s="3585"/>
      <c r="BJ135" s="3586"/>
      <c r="BK135" s="3587"/>
      <c r="BL135" s="3588"/>
      <c r="BM135" s="3589"/>
      <c r="BN135" s="3590"/>
      <c r="BO135" s="3591"/>
      <c r="BP135" s="3592"/>
      <c r="BQ135" s="3593"/>
      <c r="BR135" s="3594"/>
      <c r="BS135" s="3595"/>
      <c r="BT135" s="3596"/>
      <c r="BU135" s="3597"/>
      <c r="BV135" s="3598"/>
      <c r="BW135" s="3599"/>
      <c r="BX135" s="3600"/>
      <c r="BY135" s="3601"/>
      <c r="BZ135" s="3602"/>
      <c r="CA135" s="6760"/>
      <c r="CB135" s="2211"/>
      <c r="CC135" s="2345"/>
      <c r="CD135" s="2345" t="str">
        <f t="shared" si="3"/>
        <v>Добавить вид теплоносителя (параметры теплоносителя)</v>
      </c>
      <c r="CE135" s="2345"/>
      <c r="CF135" s="2345"/>
    </row>
    <row r="136" spans="1:84" s="3603" customFormat="1" ht="15" customHeight="1">
      <c r="A136" s="2335"/>
      <c r="B136" s="2335"/>
      <c r="C136" s="2335"/>
      <c r="D136" s="2335"/>
      <c r="E136" s="6764"/>
      <c r="F136" s="6764" t="s">
        <v>92</v>
      </c>
      <c r="G136" s="6764"/>
      <c r="H136" s="6764"/>
      <c r="I136" s="6761"/>
      <c r="J136" s="2335"/>
      <c r="K136" s="2335"/>
      <c r="L136" s="2336"/>
      <c r="M136" s="2205"/>
      <c r="N136" s="2352"/>
      <c r="O136" s="2352"/>
      <c r="P136" s="6762"/>
      <c r="Q136" s="2353"/>
      <c r="R136" s="2354"/>
      <c r="S136" s="3604"/>
      <c r="T136" s="3605" t="s">
        <v>532</v>
      </c>
      <c r="U136" s="3606"/>
      <c r="V136" s="3607"/>
      <c r="W136" s="3608"/>
      <c r="X136" s="3609"/>
      <c r="Y136" s="3610"/>
      <c r="Z136" s="3611"/>
      <c r="AA136" s="3612"/>
      <c r="AB136" s="3613"/>
      <c r="AC136" s="3614"/>
      <c r="AD136" s="3615"/>
      <c r="AE136" s="3616"/>
      <c r="AF136" s="3617"/>
      <c r="AG136" s="3618"/>
      <c r="AH136" s="3619"/>
      <c r="AI136" s="3620"/>
      <c r="AJ136" s="3621"/>
      <c r="AK136" s="3622"/>
      <c r="AL136" s="3623"/>
      <c r="AM136" s="3624"/>
      <c r="AN136" s="3625"/>
      <c r="AO136" s="3626"/>
      <c r="AP136" s="3627"/>
      <c r="AQ136" s="3628"/>
      <c r="AR136" s="3629"/>
      <c r="AS136" s="3630"/>
      <c r="AT136" s="3631"/>
      <c r="AU136" s="3632"/>
      <c r="AV136" s="3633"/>
      <c r="AW136" s="3634"/>
      <c r="AX136" s="3635"/>
      <c r="AY136" s="3636"/>
      <c r="AZ136" s="3637"/>
      <c r="BA136" s="3638"/>
      <c r="BB136" s="3639"/>
      <c r="BC136" s="3640"/>
      <c r="BD136" s="3641"/>
      <c r="BE136" s="3642"/>
      <c r="BF136" s="3643"/>
      <c r="BG136" s="3644"/>
      <c r="BH136" s="3645"/>
      <c r="BI136" s="3646"/>
      <c r="BJ136" s="3647"/>
      <c r="BK136" s="3648"/>
      <c r="BL136" s="3649"/>
      <c r="BM136" s="3650"/>
      <c r="BN136" s="3651"/>
      <c r="BO136" s="3652"/>
      <c r="BP136" s="3653"/>
      <c r="BQ136" s="3654"/>
      <c r="BR136" s="3655"/>
      <c r="BS136" s="3656"/>
      <c r="BT136" s="3657"/>
      <c r="BU136" s="3658"/>
      <c r="BV136" s="3659"/>
      <c r="BW136" s="3660"/>
      <c r="BX136" s="3661"/>
      <c r="BY136" s="3662"/>
      <c r="BZ136" s="3663"/>
      <c r="CA136" s="3664"/>
      <c r="CB136" s="2211"/>
      <c r="CC136" s="2345"/>
      <c r="CD136" s="2345" t="str">
        <f t="shared" si="3"/>
        <v>Добавить группу потребителей</v>
      </c>
      <c r="CE136" s="2345"/>
      <c r="CF136" s="2345"/>
    </row>
    <row r="137" spans="1:84" s="3665" customFormat="1" ht="14.25" customHeight="1">
      <c r="A137" s="2335"/>
      <c r="B137" s="2335"/>
      <c r="C137" s="2335"/>
      <c r="D137" s="2335"/>
      <c r="E137" s="6764"/>
      <c r="F137" s="6764" t="s">
        <v>92</v>
      </c>
      <c r="G137" s="6764"/>
      <c r="H137" s="6763"/>
      <c r="I137" s="2335"/>
      <c r="J137" s="2335"/>
      <c r="K137" s="2335"/>
      <c r="L137" s="2336"/>
      <c r="M137" s="2337"/>
      <c r="N137" s="2337"/>
      <c r="O137" s="2205"/>
      <c r="P137" s="2487"/>
      <c r="Q137" s="2488"/>
      <c r="R137" s="2489"/>
      <c r="S137" s="3666"/>
      <c r="T137" s="3667" t="s">
        <v>533</v>
      </c>
      <c r="U137" s="3668"/>
      <c r="V137" s="3669"/>
      <c r="W137" s="3670"/>
      <c r="X137" s="3671"/>
      <c r="Y137" s="3672"/>
      <c r="Z137" s="3673"/>
      <c r="AA137" s="3674"/>
      <c r="AB137" s="3675"/>
      <c r="AC137" s="3676"/>
      <c r="AD137" s="3677"/>
      <c r="AE137" s="3678"/>
      <c r="AF137" s="3679"/>
      <c r="AG137" s="3680"/>
      <c r="AH137" s="3681"/>
      <c r="AI137" s="3682"/>
      <c r="AJ137" s="3683"/>
      <c r="AK137" s="3684"/>
      <c r="AL137" s="3685"/>
      <c r="AM137" s="3686"/>
      <c r="AN137" s="3687"/>
      <c r="AO137" s="3688"/>
      <c r="AP137" s="3689"/>
      <c r="AQ137" s="3690"/>
      <c r="AR137" s="3691"/>
      <c r="AS137" s="3692"/>
      <c r="AT137" s="3693"/>
      <c r="AU137" s="3694"/>
      <c r="AV137" s="3695"/>
      <c r="AW137" s="3696"/>
      <c r="AX137" s="3697"/>
      <c r="AY137" s="3698"/>
      <c r="AZ137" s="3699"/>
      <c r="BA137" s="3700"/>
      <c r="BB137" s="3701"/>
      <c r="BC137" s="3702"/>
      <c r="BD137" s="3703"/>
      <c r="BE137" s="3704"/>
      <c r="BF137" s="3705"/>
      <c r="BG137" s="3706"/>
      <c r="BH137" s="3707"/>
      <c r="BI137" s="3708"/>
      <c r="BJ137" s="3709"/>
      <c r="BK137" s="3710"/>
      <c r="BL137" s="3711"/>
      <c r="BM137" s="3712"/>
      <c r="BN137" s="3713"/>
      <c r="BO137" s="3714"/>
      <c r="BP137" s="3715"/>
      <c r="BQ137" s="3716"/>
      <c r="BR137" s="3717"/>
      <c r="BS137" s="3718"/>
      <c r="BT137" s="3719"/>
      <c r="BU137" s="3720"/>
      <c r="BV137" s="3721"/>
      <c r="BW137" s="3722"/>
      <c r="BX137" s="3723"/>
      <c r="BY137" s="3724"/>
      <c r="BZ137" s="3725"/>
      <c r="CA137" s="3726"/>
      <c r="CB137" s="2211"/>
      <c r="CC137" s="2345"/>
      <c r="CD137" s="2345" t="str">
        <f t="shared" si="3"/>
        <v>Добавить схему подключения</v>
      </c>
      <c r="CE137" s="2345"/>
      <c r="CF137" s="2345"/>
    </row>
    <row r="138" spans="1:84" s="3727" customFormat="1" ht="0.75" customHeight="1">
      <c r="A138" s="2552"/>
      <c r="B138" s="2552"/>
      <c r="C138" s="2552"/>
      <c r="D138" s="2552"/>
      <c r="E138" s="6764"/>
      <c r="F138" s="6764" t="s">
        <v>92</v>
      </c>
      <c r="G138" s="6763"/>
      <c r="H138" s="2552"/>
      <c r="I138" s="2552"/>
      <c r="J138" s="2552"/>
      <c r="K138" s="2552"/>
      <c r="L138" s="2553"/>
      <c r="M138" s="2554"/>
      <c r="N138" s="2554"/>
      <c r="O138" s="2211"/>
      <c r="P138" s="2555"/>
      <c r="Q138" s="2556"/>
      <c r="R138" s="2555"/>
      <c r="S138" s="2557"/>
      <c r="T138" s="2558" t="s">
        <v>228</v>
      </c>
      <c r="U138" s="2203"/>
      <c r="V138" s="2203"/>
      <c r="W138" s="2203"/>
      <c r="X138" s="2203"/>
      <c r="Y138" s="2203"/>
      <c r="Z138" s="2203"/>
      <c r="AA138" s="2203"/>
      <c r="AB138" s="2203"/>
      <c r="AC138" s="2203"/>
      <c r="AD138" s="2203"/>
      <c r="AE138" s="2203"/>
      <c r="AF138" s="2203"/>
      <c r="AG138" s="2203"/>
      <c r="AH138" s="2203"/>
      <c r="AI138" s="2203"/>
      <c r="AJ138" s="2203"/>
      <c r="AK138" s="2203"/>
      <c r="AL138" s="2203"/>
      <c r="AM138" s="2203"/>
      <c r="AN138" s="2203"/>
      <c r="AO138" s="2203"/>
      <c r="AP138" s="2203"/>
      <c r="AQ138" s="2203"/>
      <c r="AR138" s="2203"/>
      <c r="AS138" s="2203"/>
      <c r="AT138" s="2203"/>
      <c r="AU138" s="2203"/>
      <c r="AV138" s="2203"/>
      <c r="AW138" s="2203"/>
      <c r="AX138" s="2203"/>
      <c r="AY138" s="2203"/>
      <c r="AZ138" s="2203"/>
      <c r="BA138" s="2203"/>
      <c r="BB138" s="2203"/>
      <c r="BC138" s="2203"/>
      <c r="BD138" s="2203"/>
      <c r="BE138" s="2203"/>
      <c r="BF138" s="2203"/>
      <c r="BG138" s="2203"/>
      <c r="BH138" s="2203"/>
      <c r="BI138" s="2203"/>
      <c r="BJ138" s="2203"/>
      <c r="BK138" s="2203"/>
      <c r="BL138" s="2203"/>
      <c r="BM138" s="2203"/>
      <c r="BN138" s="2203"/>
      <c r="BO138" s="2203"/>
      <c r="BP138" s="2203"/>
      <c r="BQ138" s="2203"/>
      <c r="BR138" s="2203"/>
      <c r="BS138" s="2203"/>
      <c r="BT138" s="2203"/>
      <c r="BU138" s="2203"/>
      <c r="BV138" s="2203"/>
      <c r="BW138" s="2203"/>
      <c r="BX138" s="2203"/>
      <c r="BY138" s="2203"/>
      <c r="BZ138" s="2203"/>
      <c r="CA138" s="2203"/>
      <c r="CB138" s="2211"/>
      <c r="CC138" s="2345"/>
      <c r="CD138" s="2345" t="str">
        <f t="shared" si="3"/>
        <v>Добавить источник для дифференциации</v>
      </c>
      <c r="CE138" s="2345"/>
      <c r="CF138" s="2345"/>
    </row>
    <row r="139" spans="1:84" s="3728" customFormat="1" ht="0.75" customHeight="1">
      <c r="A139" s="2552"/>
      <c r="B139" s="2552"/>
      <c r="C139" s="2552"/>
      <c r="D139" s="2552"/>
      <c r="E139" s="6764"/>
      <c r="F139" s="6763" t="s">
        <v>92</v>
      </c>
      <c r="G139" s="2552"/>
      <c r="H139" s="2552"/>
      <c r="I139" s="2552"/>
      <c r="J139" s="2552"/>
      <c r="K139" s="2552"/>
      <c r="L139" s="2553"/>
      <c r="M139" s="2560"/>
      <c r="N139" s="2560"/>
      <c r="O139" s="2211"/>
      <c r="P139" s="2555"/>
      <c r="Q139" s="2556"/>
      <c r="R139" s="2555"/>
      <c r="S139" s="2561"/>
      <c r="T139" s="2562" t="s">
        <v>229</v>
      </c>
      <c r="U139" s="2204"/>
      <c r="V139" s="2204"/>
      <c r="W139" s="2204"/>
      <c r="X139" s="2204"/>
      <c r="Y139" s="2204"/>
      <c r="Z139" s="2204"/>
      <c r="AA139" s="2204"/>
      <c r="AB139" s="2204"/>
      <c r="AC139" s="2204"/>
      <c r="AD139" s="2204"/>
      <c r="AE139" s="2204"/>
      <c r="AF139" s="2204"/>
      <c r="AG139" s="2204"/>
      <c r="AH139" s="2204"/>
      <c r="AI139" s="2204"/>
      <c r="AJ139" s="2204"/>
      <c r="AK139" s="2204"/>
      <c r="AL139" s="2204"/>
      <c r="AM139" s="2204"/>
      <c r="AN139" s="2204"/>
      <c r="AO139" s="2204"/>
      <c r="AP139" s="2204"/>
      <c r="AQ139" s="2204"/>
      <c r="AR139" s="2204"/>
      <c r="AS139" s="2204"/>
      <c r="AT139" s="2204"/>
      <c r="AU139" s="2204"/>
      <c r="AV139" s="2204"/>
      <c r="AW139" s="2204"/>
      <c r="AX139" s="2204"/>
      <c r="AY139" s="2204"/>
      <c r="AZ139" s="2204"/>
      <c r="BA139" s="2204"/>
      <c r="BB139" s="2204"/>
      <c r="BC139" s="2204"/>
      <c r="BD139" s="2204"/>
      <c r="BE139" s="2204"/>
      <c r="BF139" s="2204"/>
      <c r="BG139" s="2204"/>
      <c r="BH139" s="2204"/>
      <c r="BI139" s="2204"/>
      <c r="BJ139" s="2204"/>
      <c r="BK139" s="2204"/>
      <c r="BL139" s="2204"/>
      <c r="BM139" s="2204"/>
      <c r="BN139" s="2204"/>
      <c r="BO139" s="2204"/>
      <c r="BP139" s="2204"/>
      <c r="BQ139" s="2204"/>
      <c r="BR139" s="2204"/>
      <c r="BS139" s="2204"/>
      <c r="BT139" s="2204"/>
      <c r="BU139" s="2204"/>
      <c r="BV139" s="2204"/>
      <c r="BW139" s="2204"/>
      <c r="BX139" s="2204"/>
      <c r="BY139" s="2204"/>
      <c r="BZ139" s="2204"/>
      <c r="CA139" s="2204"/>
      <c r="CB139" s="2211"/>
      <c r="CC139" s="2345"/>
      <c r="CD139" s="2345" t="str">
        <f t="shared" ref="CD139:CD170" si="4">IF(T139="","",T139)</f>
        <v>Добавить централизованную систему для дифференциации</v>
      </c>
      <c r="CE139" s="2345"/>
      <c r="CF139" s="2345"/>
    </row>
    <row r="140" spans="1:84" s="3729" customFormat="1" ht="21" customHeight="1">
      <c r="A140" s="2335"/>
      <c r="B140" s="2335" t="s">
        <v>251</v>
      </c>
      <c r="C140" s="2335"/>
      <c r="D140" s="2335"/>
      <c r="E140" s="6764"/>
      <c r="F140" s="6763" t="s">
        <v>133</v>
      </c>
      <c r="G140" s="2335"/>
      <c r="H140" s="2335"/>
      <c r="I140" s="2335"/>
      <c r="J140" s="2335"/>
      <c r="K140" s="2335"/>
      <c r="L140" s="2336"/>
      <c r="M140" s="2337"/>
      <c r="N140" s="2337"/>
      <c r="O140" s="2337"/>
      <c r="P140" s="2338"/>
      <c r="Q140" s="2339"/>
      <c r="R140" s="2340"/>
      <c r="S140" s="2341" t="str">
        <f>INDEX(PT_DIFFERENTIATION_NUM_TER,MATCH(B140,PT_DIFFERENTIATION_TER_ID,0))</f>
        <v>1.9</v>
      </c>
      <c r="T140" s="2342" t="s">
        <v>517</v>
      </c>
      <c r="U140" s="2343"/>
      <c r="V140" s="6749"/>
      <c r="W140" s="6750"/>
      <c r="X140" s="6750"/>
      <c r="Y140" s="6750"/>
      <c r="Z140" s="6750"/>
      <c r="AA140" s="6750"/>
      <c r="AB140" s="6750"/>
      <c r="AC140" s="6751"/>
      <c r="AD140" s="6749" t="str">
        <f>INDEX(PT_DIFFERENTIATION_TER,MATCH(B140,PT_DIFFERENTIATION_TER_ID,0))</f>
        <v>Территория 8</v>
      </c>
      <c r="AE140" s="6750"/>
      <c r="AF140" s="6750"/>
      <c r="AG140" s="6750"/>
      <c r="AH140" s="6750"/>
      <c r="AI140" s="6750"/>
      <c r="AJ140" s="6750"/>
      <c r="AK140" s="6750"/>
      <c r="AL140" s="6749"/>
      <c r="AM140" s="6750"/>
      <c r="AN140" s="6750"/>
      <c r="AO140" s="6750"/>
      <c r="AP140" s="6750"/>
      <c r="AQ140" s="6750"/>
      <c r="AR140" s="6750"/>
      <c r="AS140" s="6751"/>
      <c r="AT140" s="6749"/>
      <c r="AU140" s="6750"/>
      <c r="AV140" s="6750"/>
      <c r="AW140" s="6750"/>
      <c r="AX140" s="6750"/>
      <c r="AY140" s="6750"/>
      <c r="AZ140" s="6750"/>
      <c r="BA140" s="6751"/>
      <c r="BB140" s="6749"/>
      <c r="BC140" s="6750"/>
      <c r="BD140" s="6750"/>
      <c r="BE140" s="6750"/>
      <c r="BF140" s="6750"/>
      <c r="BG140" s="6750"/>
      <c r="BH140" s="6750"/>
      <c r="BI140" s="6751"/>
      <c r="BJ140" s="6749"/>
      <c r="BK140" s="6750"/>
      <c r="BL140" s="6750"/>
      <c r="BM140" s="6750"/>
      <c r="BN140" s="6750"/>
      <c r="BO140" s="6750"/>
      <c r="BP140" s="6750"/>
      <c r="BQ140" s="6751"/>
      <c r="BR140" s="6749"/>
      <c r="BS140" s="6750"/>
      <c r="BT140" s="6750"/>
      <c r="BU140" s="6750"/>
      <c r="BV140" s="6750"/>
      <c r="BW140" s="6750"/>
      <c r="BX140" s="6750"/>
      <c r="BY140" s="6751"/>
      <c r="BZ140" s="6751"/>
      <c r="CA140" s="2344" t="s">
        <v>518</v>
      </c>
      <c r="CB140" s="2211"/>
      <c r="CC140" s="2345"/>
      <c r="CD140" s="2345" t="str">
        <f t="shared" si="4"/>
        <v>Территория действия тарифа</v>
      </c>
      <c r="CE140" s="2345"/>
      <c r="CF140" s="2345"/>
    </row>
    <row r="141" spans="1:84" s="3730" customFormat="1" ht="23.25" customHeight="1">
      <c r="A141" s="2335"/>
      <c r="B141" s="2335"/>
      <c r="C141" s="2335" t="s">
        <v>252</v>
      </c>
      <c r="D141" s="2335"/>
      <c r="E141" s="6764"/>
      <c r="F141" s="6764" t="s">
        <v>128</v>
      </c>
      <c r="G141" s="6763">
        <v>1</v>
      </c>
      <c r="H141" s="2335"/>
      <c r="I141" s="2335"/>
      <c r="J141" s="2335"/>
      <c r="K141" s="2335"/>
      <c r="L141" s="2336"/>
      <c r="M141" s="2337"/>
      <c r="N141" s="2337"/>
      <c r="O141" s="2337"/>
      <c r="P141" s="2347"/>
      <c r="Q141" s="2339"/>
      <c r="R141" s="2340"/>
      <c r="S141" s="2341" t="str">
        <f>INDEX(PT_DIFFERENTIATION_NUM_CS,MATCH(C141,PT_DIFFERENTIATION_CS_ID,0))</f>
        <v>1.9.1</v>
      </c>
      <c r="T141" s="2348" t="s">
        <v>519</v>
      </c>
      <c r="U141" s="2343"/>
      <c r="V141" s="6749"/>
      <c r="W141" s="6750"/>
      <c r="X141" s="6750"/>
      <c r="Y141" s="6750"/>
      <c r="Z141" s="6750"/>
      <c r="AA141" s="6750"/>
      <c r="AB141" s="6750"/>
      <c r="AC141" s="6751"/>
      <c r="AD141" s="6749" t="str">
        <f>INDEX(PT_DIFFERENTIATION_CS,MATCH(C141,PT_DIFFERENTIATION_CS_ID,0))</f>
        <v>без дифференциации</v>
      </c>
      <c r="AE141" s="6750"/>
      <c r="AF141" s="6750"/>
      <c r="AG141" s="6750"/>
      <c r="AH141" s="6750"/>
      <c r="AI141" s="6750"/>
      <c r="AJ141" s="6750"/>
      <c r="AK141" s="6750"/>
      <c r="AL141" s="6749"/>
      <c r="AM141" s="6750"/>
      <c r="AN141" s="6750"/>
      <c r="AO141" s="6750"/>
      <c r="AP141" s="6750"/>
      <c r="AQ141" s="6750"/>
      <c r="AR141" s="6750"/>
      <c r="AS141" s="6751"/>
      <c r="AT141" s="6749"/>
      <c r="AU141" s="6750"/>
      <c r="AV141" s="6750"/>
      <c r="AW141" s="6750"/>
      <c r="AX141" s="6750"/>
      <c r="AY141" s="6750"/>
      <c r="AZ141" s="6750"/>
      <c r="BA141" s="6751"/>
      <c r="BB141" s="6749"/>
      <c r="BC141" s="6750"/>
      <c r="BD141" s="6750"/>
      <c r="BE141" s="6750"/>
      <c r="BF141" s="6750"/>
      <c r="BG141" s="6750"/>
      <c r="BH141" s="6750"/>
      <c r="BI141" s="6751"/>
      <c r="BJ141" s="6749"/>
      <c r="BK141" s="6750"/>
      <c r="BL141" s="6750"/>
      <c r="BM141" s="6750"/>
      <c r="BN141" s="6750"/>
      <c r="BO141" s="6750"/>
      <c r="BP141" s="6750"/>
      <c r="BQ141" s="6751"/>
      <c r="BR141" s="6749"/>
      <c r="BS141" s="6750"/>
      <c r="BT141" s="6750"/>
      <c r="BU141" s="6750"/>
      <c r="BV141" s="6750"/>
      <c r="BW141" s="6750"/>
      <c r="BX141" s="6750"/>
      <c r="BY141" s="6751"/>
      <c r="BZ141" s="6751"/>
      <c r="CA141" s="2344" t="s">
        <v>520</v>
      </c>
      <c r="CB141" s="2211"/>
      <c r="CC141" s="2345"/>
      <c r="CD141" s="2345" t="str">
        <f t="shared" si="4"/>
        <v xml:space="preserve">Наименование системы теплоснабжения </v>
      </c>
      <c r="CE141" s="2345"/>
      <c r="CF141" s="2345"/>
    </row>
    <row r="142" spans="1:84" s="3731" customFormat="1" ht="21" customHeight="1">
      <c r="A142" s="2335"/>
      <c r="B142" s="2335"/>
      <c r="C142" s="2335"/>
      <c r="D142" s="2335" t="s">
        <v>253</v>
      </c>
      <c r="E142" s="6764"/>
      <c r="F142" s="6764" t="s">
        <v>128</v>
      </c>
      <c r="G142" s="6764"/>
      <c r="H142" s="6763">
        <v>1</v>
      </c>
      <c r="I142" s="2335"/>
      <c r="J142" s="2335"/>
      <c r="K142" s="2335"/>
      <c r="L142" s="2336"/>
      <c r="M142" s="2337"/>
      <c r="N142" s="2337"/>
      <c r="O142" s="2337"/>
      <c r="P142" s="2347"/>
      <c r="Q142" s="2339"/>
      <c r="R142" s="2340"/>
      <c r="S142" s="2341" t="str">
        <f>INDEX(PT_DIFFERENTIATION_NUM_IST_TE,MATCH(D142,PT_DIFFERENTIATION_IST_TE_ID,0))</f>
        <v>1.9.1.1</v>
      </c>
      <c r="T142" s="2350" t="s">
        <v>521</v>
      </c>
      <c r="U142" s="2343"/>
      <c r="V142" s="6749"/>
      <c r="W142" s="6750"/>
      <c r="X142" s="6750"/>
      <c r="Y142" s="6750"/>
      <c r="Z142" s="6750"/>
      <c r="AA142" s="6750"/>
      <c r="AB142" s="6750"/>
      <c r="AC142" s="6751"/>
      <c r="AD142" s="6749" t="str">
        <f>INDEX(PT_DIFFERENTIATION_IST_TE,MATCH(D142,PT_DIFFERENTIATION_IST_TE_ID,0))</f>
        <v>без дифференциации</v>
      </c>
      <c r="AE142" s="6750"/>
      <c r="AF142" s="6750"/>
      <c r="AG142" s="6750"/>
      <c r="AH142" s="6750"/>
      <c r="AI142" s="6750"/>
      <c r="AJ142" s="6750"/>
      <c r="AK142" s="6750"/>
      <c r="AL142" s="6749"/>
      <c r="AM142" s="6750"/>
      <c r="AN142" s="6750"/>
      <c r="AO142" s="6750"/>
      <c r="AP142" s="6750"/>
      <c r="AQ142" s="6750"/>
      <c r="AR142" s="6750"/>
      <c r="AS142" s="6751"/>
      <c r="AT142" s="6749"/>
      <c r="AU142" s="6750"/>
      <c r="AV142" s="6750"/>
      <c r="AW142" s="6750"/>
      <c r="AX142" s="6750"/>
      <c r="AY142" s="6750"/>
      <c r="AZ142" s="6750"/>
      <c r="BA142" s="6751"/>
      <c r="BB142" s="6749"/>
      <c r="BC142" s="6750"/>
      <c r="BD142" s="6750"/>
      <c r="BE142" s="6750"/>
      <c r="BF142" s="6750"/>
      <c r="BG142" s="6750"/>
      <c r="BH142" s="6750"/>
      <c r="BI142" s="6751"/>
      <c r="BJ142" s="6749"/>
      <c r="BK142" s="6750"/>
      <c r="BL142" s="6750"/>
      <c r="BM142" s="6750"/>
      <c r="BN142" s="6750"/>
      <c r="BO142" s="6750"/>
      <c r="BP142" s="6750"/>
      <c r="BQ142" s="6751"/>
      <c r="BR142" s="6749"/>
      <c r="BS142" s="6750"/>
      <c r="BT142" s="6750"/>
      <c r="BU142" s="6750"/>
      <c r="BV142" s="6750"/>
      <c r="BW142" s="6750"/>
      <c r="BX142" s="6750"/>
      <c r="BY142" s="6751"/>
      <c r="BZ142" s="6751"/>
      <c r="CA142" s="2344" t="s">
        <v>522</v>
      </c>
      <c r="CB142" s="2211"/>
      <c r="CC142" s="2345"/>
      <c r="CD142" s="2345" t="str">
        <f t="shared" si="4"/>
        <v xml:space="preserve">Источник тепловой энергии  </v>
      </c>
      <c r="CE142" s="2345"/>
      <c r="CF142" s="2345"/>
    </row>
    <row r="143" spans="1:84" s="3732" customFormat="1" ht="47.25" customHeight="1">
      <c r="A143" s="2335"/>
      <c r="B143" s="2335"/>
      <c r="C143" s="2335"/>
      <c r="D143" s="2335"/>
      <c r="E143" s="6764"/>
      <c r="F143" s="6764" t="s">
        <v>128</v>
      </c>
      <c r="G143" s="6764"/>
      <c r="H143" s="6764"/>
      <c r="I143" s="6761" t="str">
        <f>S142&amp;".1"</f>
        <v>1.9.1.1.1</v>
      </c>
      <c r="J143" s="2335"/>
      <c r="K143" s="2335"/>
      <c r="L143" s="2336" t="s">
        <v>523</v>
      </c>
      <c r="M143" s="2205"/>
      <c r="N143" s="2352"/>
      <c r="O143" s="2352"/>
      <c r="P143" s="6762">
        <v>1</v>
      </c>
      <c r="Q143" s="2353"/>
      <c r="R143" s="2354"/>
      <c r="S143" s="2341" t="str">
        <f>$I143</f>
        <v>1.9.1.1.1</v>
      </c>
      <c r="T143" s="2355" t="s">
        <v>524</v>
      </c>
      <c r="U143" s="2343"/>
      <c r="V143" s="6752"/>
      <c r="W143" s="6753"/>
      <c r="X143" s="6753"/>
      <c r="Y143" s="6753"/>
      <c r="Z143" s="6753"/>
      <c r="AA143" s="6753"/>
      <c r="AB143" s="6753"/>
      <c r="AC143" s="6754"/>
      <c r="AD143" s="6752" t="s">
        <v>566</v>
      </c>
      <c r="AE143" s="6753"/>
      <c r="AF143" s="6753"/>
      <c r="AG143" s="6753"/>
      <c r="AH143" s="6753"/>
      <c r="AI143" s="6753"/>
      <c r="AJ143" s="6753"/>
      <c r="AK143" s="6753"/>
      <c r="AL143" s="6752"/>
      <c r="AM143" s="6753"/>
      <c r="AN143" s="6753"/>
      <c r="AO143" s="6753"/>
      <c r="AP143" s="6753"/>
      <c r="AQ143" s="6753"/>
      <c r="AR143" s="6753"/>
      <c r="AS143" s="6754"/>
      <c r="AT143" s="6752"/>
      <c r="AU143" s="6753"/>
      <c r="AV143" s="6753"/>
      <c r="AW143" s="6753"/>
      <c r="AX143" s="6753"/>
      <c r="AY143" s="6753"/>
      <c r="AZ143" s="6753"/>
      <c r="BA143" s="6754"/>
      <c r="BB143" s="6752"/>
      <c r="BC143" s="6753"/>
      <c r="BD143" s="6753"/>
      <c r="BE143" s="6753"/>
      <c r="BF143" s="6753"/>
      <c r="BG143" s="6753"/>
      <c r="BH143" s="6753"/>
      <c r="BI143" s="6754"/>
      <c r="BJ143" s="6752"/>
      <c r="BK143" s="6753"/>
      <c r="BL143" s="6753"/>
      <c r="BM143" s="6753"/>
      <c r="BN143" s="6753"/>
      <c r="BO143" s="6753"/>
      <c r="BP143" s="6753"/>
      <c r="BQ143" s="6754"/>
      <c r="BR143" s="6752"/>
      <c r="BS143" s="6753"/>
      <c r="BT143" s="6753"/>
      <c r="BU143" s="6753"/>
      <c r="BV143" s="6753"/>
      <c r="BW143" s="6753"/>
      <c r="BX143" s="6753"/>
      <c r="BY143" s="6754"/>
      <c r="BZ143" s="6754"/>
      <c r="CA143" s="2344" t="s">
        <v>525</v>
      </c>
      <c r="CB143" s="2211"/>
      <c r="CC143" s="2345"/>
      <c r="CD143" s="2345" t="str">
        <f t="shared" si="4"/>
        <v>Схема подключения теплопотребляющей установки к коллектору источника тепловой энергии</v>
      </c>
      <c r="CE143" s="2345"/>
      <c r="CF143" s="2345"/>
    </row>
    <row r="144" spans="1:84" s="3733" customFormat="1" ht="21" customHeight="1">
      <c r="A144" s="2335"/>
      <c r="B144" s="2335"/>
      <c r="C144" s="2335"/>
      <c r="D144" s="2335"/>
      <c r="E144" s="6764"/>
      <c r="F144" s="6764" t="s">
        <v>128</v>
      </c>
      <c r="G144" s="6764"/>
      <c r="H144" s="6764"/>
      <c r="I144" s="6784"/>
      <c r="J144" s="6761" t="str">
        <f>I143&amp;".1"</f>
        <v>1.9.1.1.1.1</v>
      </c>
      <c r="K144" s="2335"/>
      <c r="L144" s="2336" t="s">
        <v>526</v>
      </c>
      <c r="M144" s="2205"/>
      <c r="N144" s="2205"/>
      <c r="O144" s="2352"/>
      <c r="P144" s="6762"/>
      <c r="Q144" s="6762">
        <v>1</v>
      </c>
      <c r="R144" s="2357"/>
      <c r="S144" s="2341" t="str">
        <f>$J144</f>
        <v>1.9.1.1.1.1</v>
      </c>
      <c r="T144" s="2358" t="s">
        <v>527</v>
      </c>
      <c r="U144" s="2343"/>
      <c r="V144" s="6752"/>
      <c r="W144" s="6753"/>
      <c r="X144" s="6753"/>
      <c r="Y144" s="6753"/>
      <c r="Z144" s="6753"/>
      <c r="AA144" s="6753"/>
      <c r="AB144" s="6753"/>
      <c r="AC144" s="6754"/>
      <c r="AD144" s="6752" t="s">
        <v>566</v>
      </c>
      <c r="AE144" s="6753"/>
      <c r="AF144" s="6753"/>
      <c r="AG144" s="6753"/>
      <c r="AH144" s="6753"/>
      <c r="AI144" s="6753"/>
      <c r="AJ144" s="6753"/>
      <c r="AK144" s="6753"/>
      <c r="AL144" s="6752"/>
      <c r="AM144" s="6753"/>
      <c r="AN144" s="6753"/>
      <c r="AO144" s="6753"/>
      <c r="AP144" s="6753"/>
      <c r="AQ144" s="6753"/>
      <c r="AR144" s="6753"/>
      <c r="AS144" s="6754"/>
      <c r="AT144" s="6752"/>
      <c r="AU144" s="6753"/>
      <c r="AV144" s="6753"/>
      <c r="AW144" s="6753"/>
      <c r="AX144" s="6753"/>
      <c r="AY144" s="6753"/>
      <c r="AZ144" s="6753"/>
      <c r="BA144" s="6754"/>
      <c r="BB144" s="6752"/>
      <c r="BC144" s="6753"/>
      <c r="BD144" s="6753"/>
      <c r="BE144" s="6753"/>
      <c r="BF144" s="6753"/>
      <c r="BG144" s="6753"/>
      <c r="BH144" s="6753"/>
      <c r="BI144" s="6754"/>
      <c r="BJ144" s="6752"/>
      <c r="BK144" s="6753"/>
      <c r="BL144" s="6753"/>
      <c r="BM144" s="6753"/>
      <c r="BN144" s="6753"/>
      <c r="BO144" s="6753"/>
      <c r="BP144" s="6753"/>
      <c r="BQ144" s="6754"/>
      <c r="BR144" s="6752"/>
      <c r="BS144" s="6753"/>
      <c r="BT144" s="6753"/>
      <c r="BU144" s="6753"/>
      <c r="BV144" s="6753"/>
      <c r="BW144" s="6753"/>
      <c r="BX144" s="6753"/>
      <c r="BY144" s="6754"/>
      <c r="BZ144" s="6754"/>
      <c r="CA144" s="2344" t="s">
        <v>528</v>
      </c>
      <c r="CB144" s="2211"/>
      <c r="CC144" s="2345"/>
      <c r="CD144" s="2345" t="str">
        <f t="shared" si="4"/>
        <v>Группа потребителей</v>
      </c>
      <c r="CE144" s="2345"/>
      <c r="CF144" s="2345"/>
    </row>
    <row r="145" spans="1:84" s="3734" customFormat="1" ht="21" customHeight="1">
      <c r="A145" s="2335"/>
      <c r="B145" s="2335"/>
      <c r="C145" s="2335"/>
      <c r="D145" s="2335"/>
      <c r="E145" s="6764"/>
      <c r="F145" s="6764" t="s">
        <v>128</v>
      </c>
      <c r="G145" s="6764"/>
      <c r="H145" s="6764"/>
      <c r="I145" s="6784"/>
      <c r="J145" s="6784"/>
      <c r="K145" s="6761" t="str">
        <f>J144&amp;".1"</f>
        <v>1.9.1.1.1.1.1</v>
      </c>
      <c r="L145" s="2336" t="s">
        <v>529</v>
      </c>
      <c r="M145" s="2205"/>
      <c r="N145" s="2205"/>
      <c r="O145" s="2205"/>
      <c r="P145" s="6762"/>
      <c r="Q145" s="6762"/>
      <c r="R145" s="2357">
        <v>1</v>
      </c>
      <c r="S145" s="2341" t="str">
        <f>$K145</f>
        <v>1.9.1.1.1.1.1</v>
      </c>
      <c r="T145" s="2360" t="s">
        <v>567</v>
      </c>
      <c r="U145" s="2343"/>
      <c r="V145" s="2763"/>
      <c r="W145" s="2763"/>
      <c r="X145" s="2763"/>
      <c r="Y145" s="2764"/>
      <c r="Z145" s="6768"/>
      <c r="AA145" s="6769" t="s">
        <v>61</v>
      </c>
      <c r="AB145" s="6768"/>
      <c r="AC145" s="6769" t="s">
        <v>61</v>
      </c>
      <c r="AD145" s="2078">
        <v>2858.94</v>
      </c>
      <c r="AE145" s="2079"/>
      <c r="AF145" s="2078"/>
      <c r="AG145" s="2080"/>
      <c r="AH145" s="6766">
        <v>45292.663958333331</v>
      </c>
      <c r="AI145" s="6610" t="s">
        <v>61</v>
      </c>
      <c r="AJ145" s="6766">
        <v>45838.664039351854</v>
      </c>
      <c r="AK145" s="6610" t="s">
        <v>61</v>
      </c>
      <c r="AL145" s="2078">
        <v>3185.55</v>
      </c>
      <c r="AM145" s="2079"/>
      <c r="AN145" s="2078"/>
      <c r="AO145" s="2080"/>
      <c r="AP145" s="6766">
        <v>45839.664317129631</v>
      </c>
      <c r="AQ145" s="6610" t="s">
        <v>61</v>
      </c>
      <c r="AR145" s="6766">
        <v>46203.697615740741</v>
      </c>
      <c r="AS145" s="6610" t="s">
        <v>61</v>
      </c>
      <c r="AT145" s="2078">
        <v>3294.02</v>
      </c>
      <c r="AU145" s="2079"/>
      <c r="AV145" s="2078"/>
      <c r="AW145" s="2080"/>
      <c r="AX145" s="6766">
        <v>46204.697858796295</v>
      </c>
      <c r="AY145" s="6610" t="s">
        <v>61</v>
      </c>
      <c r="AZ145" s="6766">
        <v>46568.698113425926</v>
      </c>
      <c r="BA145" s="6610" t="s">
        <v>61</v>
      </c>
      <c r="BB145" s="2078">
        <v>3401.42</v>
      </c>
      <c r="BC145" s="2079"/>
      <c r="BD145" s="2078"/>
      <c r="BE145" s="2080"/>
      <c r="BF145" s="6766">
        <v>46569.698379629626</v>
      </c>
      <c r="BG145" s="6610" t="s">
        <v>61</v>
      </c>
      <c r="BH145" s="6766">
        <v>46934.698564814818</v>
      </c>
      <c r="BI145" s="6610" t="s">
        <v>61</v>
      </c>
      <c r="BJ145" s="2078">
        <v>3512.51</v>
      </c>
      <c r="BK145" s="2079"/>
      <c r="BL145" s="2078"/>
      <c r="BM145" s="2080"/>
      <c r="BN145" s="6766">
        <v>46935.698912037034</v>
      </c>
      <c r="BO145" s="6610" t="s">
        <v>61</v>
      </c>
      <c r="BP145" s="6766">
        <v>47118.699224537035</v>
      </c>
      <c r="BQ145" s="6610" t="s">
        <v>56</v>
      </c>
      <c r="BR145" s="2763"/>
      <c r="BS145" s="2763"/>
      <c r="BT145" s="2763"/>
      <c r="BU145" s="2764"/>
      <c r="BV145" s="6768"/>
      <c r="BW145" s="6769" t="s">
        <v>61</v>
      </c>
      <c r="BX145" s="6768"/>
      <c r="BY145" s="6769" t="s">
        <v>61</v>
      </c>
      <c r="BZ145" s="2079"/>
      <c r="CA145" s="6758" t="s">
        <v>530</v>
      </c>
      <c r="CB145" s="2211" t="e">
        <f ca="1">STRCHECKDATE(V146:BZ146)</f>
        <v>#NAME?</v>
      </c>
      <c r="CC145" s="2345"/>
      <c r="CD145" s="2345" t="str">
        <f t="shared" si="4"/>
        <v>вода</v>
      </c>
      <c r="CE145" s="2345"/>
      <c r="CF145" s="2345"/>
    </row>
    <row r="146" spans="1:84" s="3735" customFormat="1" ht="0.75" customHeight="1">
      <c r="A146" s="2335"/>
      <c r="B146" s="2335"/>
      <c r="C146" s="2335"/>
      <c r="D146" s="2335"/>
      <c r="E146" s="6764"/>
      <c r="F146" s="6764" t="s">
        <v>128</v>
      </c>
      <c r="G146" s="6764"/>
      <c r="H146" s="6764"/>
      <c r="I146" s="6784"/>
      <c r="J146" s="6784"/>
      <c r="K146" s="6761"/>
      <c r="L146" s="2336"/>
      <c r="M146" s="2205"/>
      <c r="N146" s="2205"/>
      <c r="O146" s="2205"/>
      <c r="P146" s="6762"/>
      <c r="Q146" s="6762"/>
      <c r="R146" s="2357"/>
      <c r="S146" s="2362"/>
      <c r="T146" s="2343"/>
      <c r="U146" s="2343"/>
      <c r="V146" s="2763"/>
      <c r="W146" s="2763"/>
      <c r="X146" s="2763"/>
      <c r="Y146" s="2082" t="str">
        <f>Z145&amp;"-"&amp;AB145</f>
        <v>-</v>
      </c>
      <c r="Z146" s="6769"/>
      <c r="AA146" s="6769"/>
      <c r="AB146" s="6769"/>
      <c r="AC146" s="6769"/>
      <c r="AD146" s="2079"/>
      <c r="AE146" s="2079"/>
      <c r="AF146" s="2079"/>
      <c r="AG146" s="2082" t="str">
        <f>AH145&amp;"-"&amp;AJ145</f>
        <v>45292,6639583333-45838,6640393519</v>
      </c>
      <c r="AH146" s="6767"/>
      <c r="AI146" s="6610"/>
      <c r="AJ146" s="6767"/>
      <c r="AK146" s="6610"/>
      <c r="AL146" s="2079"/>
      <c r="AM146" s="2079"/>
      <c r="AN146" s="2079"/>
      <c r="AO146" s="2082" t="str">
        <f>AP145&amp;"-"&amp;AR145</f>
        <v>45839,6643171296-46203,6976157407</v>
      </c>
      <c r="AP146" s="6767"/>
      <c r="AQ146" s="6610"/>
      <c r="AR146" s="6767"/>
      <c r="AS146" s="6610"/>
      <c r="AT146" s="2079"/>
      <c r="AU146" s="2079"/>
      <c r="AV146" s="2079"/>
      <c r="AW146" s="2082" t="str">
        <f>AX145&amp;"-"&amp;AZ145</f>
        <v>46204,6978587963-46568,6981134259</v>
      </c>
      <c r="AX146" s="6767"/>
      <c r="AY146" s="6610"/>
      <c r="AZ146" s="6767"/>
      <c r="BA146" s="6610"/>
      <c r="BB146" s="2079"/>
      <c r="BC146" s="2079"/>
      <c r="BD146" s="2079"/>
      <c r="BE146" s="2082" t="str">
        <f>BF145&amp;"-"&amp;BH145</f>
        <v>46569,6983796296-46934,6985648148</v>
      </c>
      <c r="BF146" s="6767"/>
      <c r="BG146" s="6610"/>
      <c r="BH146" s="6767"/>
      <c r="BI146" s="6610"/>
      <c r="BJ146" s="2079"/>
      <c r="BK146" s="2079"/>
      <c r="BL146" s="2079"/>
      <c r="BM146" s="2082" t="str">
        <f>BN145&amp;"-"&amp;BP145</f>
        <v>46935,698912037-47118,699224537</v>
      </c>
      <c r="BN146" s="6767"/>
      <c r="BO146" s="6610"/>
      <c r="BP146" s="6767"/>
      <c r="BQ146" s="6610"/>
      <c r="BR146" s="2763"/>
      <c r="BS146" s="2763"/>
      <c r="BT146" s="2763"/>
      <c r="BU146" s="2082" t="str">
        <f>BV145&amp;"-"&amp;BX145</f>
        <v>-</v>
      </c>
      <c r="BV146" s="6769"/>
      <c r="BW146" s="6769"/>
      <c r="BX146" s="6769"/>
      <c r="BY146" s="6769"/>
      <c r="BZ146" s="2079"/>
      <c r="CA146" s="6759"/>
      <c r="CB146" s="2211"/>
      <c r="CC146" s="2345"/>
      <c r="CD146" s="2345" t="str">
        <f t="shared" si="4"/>
        <v/>
      </c>
      <c r="CE146" s="2345"/>
      <c r="CF146" s="2345"/>
    </row>
    <row r="147" spans="1:84" s="3736" customFormat="1" ht="15" customHeight="1">
      <c r="A147" s="2335"/>
      <c r="B147" s="2335"/>
      <c r="C147" s="2335"/>
      <c r="D147" s="2335"/>
      <c r="E147" s="6764"/>
      <c r="F147" s="6764" t="s">
        <v>128</v>
      </c>
      <c r="G147" s="6764"/>
      <c r="H147" s="6764"/>
      <c r="I147" s="6784"/>
      <c r="J147" s="6761"/>
      <c r="K147" s="2335"/>
      <c r="L147" s="2336"/>
      <c r="M147" s="2205"/>
      <c r="N147" s="2205"/>
      <c r="O147" s="2352"/>
      <c r="P147" s="6762"/>
      <c r="Q147" s="6762"/>
      <c r="R147" s="2354"/>
      <c r="S147" s="3737"/>
      <c r="T147" s="3738" t="s">
        <v>531</v>
      </c>
      <c r="U147" s="3739"/>
      <c r="V147" s="3740"/>
      <c r="W147" s="3741"/>
      <c r="X147" s="3742"/>
      <c r="Y147" s="3743"/>
      <c r="Z147" s="3744"/>
      <c r="AA147" s="3745"/>
      <c r="AB147" s="3746"/>
      <c r="AC147" s="3747"/>
      <c r="AD147" s="3748"/>
      <c r="AE147" s="3749"/>
      <c r="AF147" s="3750"/>
      <c r="AG147" s="3751"/>
      <c r="AH147" s="3752"/>
      <c r="AI147" s="3753"/>
      <c r="AJ147" s="3754"/>
      <c r="AK147" s="3755"/>
      <c r="AL147" s="3756"/>
      <c r="AM147" s="3757"/>
      <c r="AN147" s="3758"/>
      <c r="AO147" s="3759"/>
      <c r="AP147" s="3760"/>
      <c r="AQ147" s="3761"/>
      <c r="AR147" s="3762"/>
      <c r="AS147" s="3763"/>
      <c r="AT147" s="3764"/>
      <c r="AU147" s="3765"/>
      <c r="AV147" s="3766"/>
      <c r="AW147" s="3767"/>
      <c r="AX147" s="3768"/>
      <c r="AY147" s="3769"/>
      <c r="AZ147" s="3770"/>
      <c r="BA147" s="3771"/>
      <c r="BB147" s="3772"/>
      <c r="BC147" s="3773"/>
      <c r="BD147" s="3774"/>
      <c r="BE147" s="3775"/>
      <c r="BF147" s="3776"/>
      <c r="BG147" s="3777"/>
      <c r="BH147" s="3778"/>
      <c r="BI147" s="3779"/>
      <c r="BJ147" s="3780"/>
      <c r="BK147" s="3781"/>
      <c r="BL147" s="3782"/>
      <c r="BM147" s="3783"/>
      <c r="BN147" s="3784"/>
      <c r="BO147" s="3785"/>
      <c r="BP147" s="3786"/>
      <c r="BQ147" s="3787"/>
      <c r="BR147" s="3788"/>
      <c r="BS147" s="3789"/>
      <c r="BT147" s="3790"/>
      <c r="BU147" s="3791"/>
      <c r="BV147" s="3792"/>
      <c r="BW147" s="3793"/>
      <c r="BX147" s="3794"/>
      <c r="BY147" s="3795"/>
      <c r="BZ147" s="3796"/>
      <c r="CA147" s="6760"/>
      <c r="CB147" s="2211"/>
      <c r="CC147" s="2345"/>
      <c r="CD147" s="2345" t="str">
        <f t="shared" si="4"/>
        <v>Добавить вид теплоносителя (параметры теплоносителя)</v>
      </c>
      <c r="CE147" s="2345"/>
      <c r="CF147" s="2345"/>
    </row>
    <row r="148" spans="1:84" s="3797" customFormat="1" ht="15" customHeight="1">
      <c r="A148" s="2335"/>
      <c r="B148" s="2335"/>
      <c r="C148" s="2335"/>
      <c r="D148" s="2335"/>
      <c r="E148" s="6764"/>
      <c r="F148" s="6764" t="s">
        <v>128</v>
      </c>
      <c r="G148" s="6764"/>
      <c r="H148" s="6764"/>
      <c r="I148" s="6761"/>
      <c r="J148" s="2335"/>
      <c r="K148" s="2335"/>
      <c r="L148" s="2336"/>
      <c r="M148" s="2205"/>
      <c r="N148" s="2352"/>
      <c r="O148" s="2352"/>
      <c r="P148" s="6762"/>
      <c r="Q148" s="2353"/>
      <c r="R148" s="2354"/>
      <c r="S148" s="3798"/>
      <c r="T148" s="3799" t="s">
        <v>532</v>
      </c>
      <c r="U148" s="3800"/>
      <c r="V148" s="3801"/>
      <c r="W148" s="3802"/>
      <c r="X148" s="3803"/>
      <c r="Y148" s="3804"/>
      <c r="Z148" s="3805"/>
      <c r="AA148" s="3806"/>
      <c r="AB148" s="3807"/>
      <c r="AC148" s="3808"/>
      <c r="AD148" s="3809"/>
      <c r="AE148" s="3810"/>
      <c r="AF148" s="3811"/>
      <c r="AG148" s="3812"/>
      <c r="AH148" s="3813"/>
      <c r="AI148" s="3814"/>
      <c r="AJ148" s="3815"/>
      <c r="AK148" s="3816"/>
      <c r="AL148" s="3817"/>
      <c r="AM148" s="3818"/>
      <c r="AN148" s="3819"/>
      <c r="AO148" s="3820"/>
      <c r="AP148" s="3821"/>
      <c r="AQ148" s="3822"/>
      <c r="AR148" s="3823"/>
      <c r="AS148" s="3824"/>
      <c r="AT148" s="3825"/>
      <c r="AU148" s="3826"/>
      <c r="AV148" s="3827"/>
      <c r="AW148" s="3828"/>
      <c r="AX148" s="3829"/>
      <c r="AY148" s="3830"/>
      <c r="AZ148" s="3831"/>
      <c r="BA148" s="3832"/>
      <c r="BB148" s="3833"/>
      <c r="BC148" s="3834"/>
      <c r="BD148" s="3835"/>
      <c r="BE148" s="3836"/>
      <c r="BF148" s="3837"/>
      <c r="BG148" s="3838"/>
      <c r="BH148" s="3839"/>
      <c r="BI148" s="3840"/>
      <c r="BJ148" s="3841"/>
      <c r="BK148" s="3842"/>
      <c r="BL148" s="3843"/>
      <c r="BM148" s="3844"/>
      <c r="BN148" s="3845"/>
      <c r="BO148" s="3846"/>
      <c r="BP148" s="3847"/>
      <c r="BQ148" s="3848"/>
      <c r="BR148" s="3849"/>
      <c r="BS148" s="3850"/>
      <c r="BT148" s="3851"/>
      <c r="BU148" s="3852"/>
      <c r="BV148" s="3853"/>
      <c r="BW148" s="3854"/>
      <c r="BX148" s="3855"/>
      <c r="BY148" s="3856"/>
      <c r="BZ148" s="3857"/>
      <c r="CA148" s="3858"/>
      <c r="CB148" s="2211"/>
      <c r="CC148" s="2345"/>
      <c r="CD148" s="2345" t="str">
        <f t="shared" si="4"/>
        <v>Добавить группу потребителей</v>
      </c>
      <c r="CE148" s="2345"/>
      <c r="CF148" s="2345"/>
    </row>
    <row r="149" spans="1:84" s="3859" customFormat="1" ht="14.25" customHeight="1">
      <c r="A149" s="2335"/>
      <c r="B149" s="2335"/>
      <c r="C149" s="2335"/>
      <c r="D149" s="2335"/>
      <c r="E149" s="6764"/>
      <c r="F149" s="6764" t="s">
        <v>128</v>
      </c>
      <c r="G149" s="6764"/>
      <c r="H149" s="6763"/>
      <c r="I149" s="2335"/>
      <c r="J149" s="2335"/>
      <c r="K149" s="2335"/>
      <c r="L149" s="2336"/>
      <c r="M149" s="2337"/>
      <c r="N149" s="2337"/>
      <c r="O149" s="2205"/>
      <c r="P149" s="2487"/>
      <c r="Q149" s="2488"/>
      <c r="R149" s="2489"/>
      <c r="S149" s="3860"/>
      <c r="T149" s="3861" t="s">
        <v>533</v>
      </c>
      <c r="U149" s="3862"/>
      <c r="V149" s="3863"/>
      <c r="W149" s="3864"/>
      <c r="X149" s="3865"/>
      <c r="Y149" s="3866"/>
      <c r="Z149" s="3867"/>
      <c r="AA149" s="3868"/>
      <c r="AB149" s="3869"/>
      <c r="AC149" s="3870"/>
      <c r="AD149" s="3871"/>
      <c r="AE149" s="3872"/>
      <c r="AF149" s="3873"/>
      <c r="AG149" s="3874"/>
      <c r="AH149" s="3875"/>
      <c r="AI149" s="3876"/>
      <c r="AJ149" s="3877"/>
      <c r="AK149" s="3878"/>
      <c r="AL149" s="3879"/>
      <c r="AM149" s="3880"/>
      <c r="AN149" s="3881"/>
      <c r="AO149" s="3882"/>
      <c r="AP149" s="3883"/>
      <c r="AQ149" s="3884"/>
      <c r="AR149" s="3885"/>
      <c r="AS149" s="3886"/>
      <c r="AT149" s="3887"/>
      <c r="AU149" s="3888"/>
      <c r="AV149" s="3889"/>
      <c r="AW149" s="3890"/>
      <c r="AX149" s="3891"/>
      <c r="AY149" s="3892"/>
      <c r="AZ149" s="3893"/>
      <c r="BA149" s="3894"/>
      <c r="BB149" s="3895"/>
      <c r="BC149" s="3896"/>
      <c r="BD149" s="3897"/>
      <c r="BE149" s="3898"/>
      <c r="BF149" s="3899"/>
      <c r="BG149" s="3900"/>
      <c r="BH149" s="3901"/>
      <c r="BI149" s="3902"/>
      <c r="BJ149" s="3903"/>
      <c r="BK149" s="3904"/>
      <c r="BL149" s="3905"/>
      <c r="BM149" s="3906"/>
      <c r="BN149" s="3907"/>
      <c r="BO149" s="3908"/>
      <c r="BP149" s="3909"/>
      <c r="BQ149" s="3910"/>
      <c r="BR149" s="3911"/>
      <c r="BS149" s="3912"/>
      <c r="BT149" s="3913"/>
      <c r="BU149" s="3914"/>
      <c r="BV149" s="3915"/>
      <c r="BW149" s="3916"/>
      <c r="BX149" s="3917"/>
      <c r="BY149" s="3918"/>
      <c r="BZ149" s="3919"/>
      <c r="CA149" s="3920"/>
      <c r="CB149" s="2211"/>
      <c r="CC149" s="2345"/>
      <c r="CD149" s="2345" t="str">
        <f t="shared" si="4"/>
        <v>Добавить схему подключения</v>
      </c>
      <c r="CE149" s="2345"/>
      <c r="CF149" s="2345"/>
    </row>
    <row r="150" spans="1:84" s="3921" customFormat="1" ht="0.75" customHeight="1">
      <c r="A150" s="2552"/>
      <c r="B150" s="2552"/>
      <c r="C150" s="2552"/>
      <c r="D150" s="2552"/>
      <c r="E150" s="6764"/>
      <c r="F150" s="6764" t="s">
        <v>128</v>
      </c>
      <c r="G150" s="6763"/>
      <c r="H150" s="2552"/>
      <c r="I150" s="2552"/>
      <c r="J150" s="2552"/>
      <c r="K150" s="2552"/>
      <c r="L150" s="2553"/>
      <c r="M150" s="2554"/>
      <c r="N150" s="2554"/>
      <c r="O150" s="2211"/>
      <c r="P150" s="2555"/>
      <c r="Q150" s="2556"/>
      <c r="R150" s="2555"/>
      <c r="S150" s="2557"/>
      <c r="T150" s="2558" t="s">
        <v>228</v>
      </c>
      <c r="U150" s="2203"/>
      <c r="V150" s="2203"/>
      <c r="W150" s="2203"/>
      <c r="X150" s="2203"/>
      <c r="Y150" s="2203"/>
      <c r="Z150" s="2203"/>
      <c r="AA150" s="2203"/>
      <c r="AB150" s="2203"/>
      <c r="AC150" s="2203"/>
      <c r="AD150" s="2203"/>
      <c r="AE150" s="2203"/>
      <c r="AF150" s="2203"/>
      <c r="AG150" s="2203"/>
      <c r="AH150" s="2203"/>
      <c r="AI150" s="2203"/>
      <c r="AJ150" s="2203"/>
      <c r="AK150" s="2203"/>
      <c r="AL150" s="2203"/>
      <c r="AM150" s="2203"/>
      <c r="AN150" s="2203"/>
      <c r="AO150" s="2203"/>
      <c r="AP150" s="2203"/>
      <c r="AQ150" s="2203"/>
      <c r="AR150" s="2203"/>
      <c r="AS150" s="2203"/>
      <c r="AT150" s="2203"/>
      <c r="AU150" s="2203"/>
      <c r="AV150" s="2203"/>
      <c r="AW150" s="2203"/>
      <c r="AX150" s="2203"/>
      <c r="AY150" s="2203"/>
      <c r="AZ150" s="2203"/>
      <c r="BA150" s="2203"/>
      <c r="BB150" s="2203"/>
      <c r="BC150" s="2203"/>
      <c r="BD150" s="2203"/>
      <c r="BE150" s="2203"/>
      <c r="BF150" s="2203"/>
      <c r="BG150" s="2203"/>
      <c r="BH150" s="2203"/>
      <c r="BI150" s="2203"/>
      <c r="BJ150" s="2203"/>
      <c r="BK150" s="2203"/>
      <c r="BL150" s="2203"/>
      <c r="BM150" s="2203"/>
      <c r="BN150" s="2203"/>
      <c r="BO150" s="2203"/>
      <c r="BP150" s="2203"/>
      <c r="BQ150" s="2203"/>
      <c r="BR150" s="2203"/>
      <c r="BS150" s="2203"/>
      <c r="BT150" s="2203"/>
      <c r="BU150" s="2203"/>
      <c r="BV150" s="2203"/>
      <c r="BW150" s="2203"/>
      <c r="BX150" s="2203"/>
      <c r="BY150" s="2203"/>
      <c r="BZ150" s="2203"/>
      <c r="CA150" s="2203"/>
      <c r="CB150" s="2211"/>
      <c r="CC150" s="2345"/>
      <c r="CD150" s="2345" t="str">
        <f t="shared" si="4"/>
        <v>Добавить источник для дифференциации</v>
      </c>
      <c r="CE150" s="2345"/>
      <c r="CF150" s="2345"/>
    </row>
    <row r="151" spans="1:84" s="3922" customFormat="1" ht="0.75" customHeight="1">
      <c r="A151" s="2552"/>
      <c r="B151" s="2552"/>
      <c r="C151" s="2552"/>
      <c r="D151" s="2552"/>
      <c r="E151" s="6764"/>
      <c r="F151" s="6763" t="s">
        <v>128</v>
      </c>
      <c r="G151" s="2552"/>
      <c r="H151" s="2552"/>
      <c r="I151" s="2552"/>
      <c r="J151" s="2552"/>
      <c r="K151" s="2552"/>
      <c r="L151" s="2553"/>
      <c r="M151" s="2560"/>
      <c r="N151" s="2560"/>
      <c r="O151" s="2211"/>
      <c r="P151" s="2555"/>
      <c r="Q151" s="2556"/>
      <c r="R151" s="2555"/>
      <c r="S151" s="2561"/>
      <c r="T151" s="2562" t="s">
        <v>229</v>
      </c>
      <c r="U151" s="2204"/>
      <c r="V151" s="2204"/>
      <c r="W151" s="2204"/>
      <c r="X151" s="2204"/>
      <c r="Y151" s="2204"/>
      <c r="Z151" s="2204"/>
      <c r="AA151" s="2204"/>
      <c r="AB151" s="2204"/>
      <c r="AC151" s="2204"/>
      <c r="AD151" s="2204"/>
      <c r="AE151" s="2204"/>
      <c r="AF151" s="2204"/>
      <c r="AG151" s="2204"/>
      <c r="AH151" s="2204"/>
      <c r="AI151" s="2204"/>
      <c r="AJ151" s="2204"/>
      <c r="AK151" s="2204"/>
      <c r="AL151" s="2204"/>
      <c r="AM151" s="2204"/>
      <c r="AN151" s="2204"/>
      <c r="AO151" s="2204"/>
      <c r="AP151" s="2204"/>
      <c r="AQ151" s="2204"/>
      <c r="AR151" s="2204"/>
      <c r="AS151" s="2204"/>
      <c r="AT151" s="2204"/>
      <c r="AU151" s="2204"/>
      <c r="AV151" s="2204"/>
      <c r="AW151" s="2204"/>
      <c r="AX151" s="2204"/>
      <c r="AY151" s="2204"/>
      <c r="AZ151" s="2204"/>
      <c r="BA151" s="2204"/>
      <c r="BB151" s="2204"/>
      <c r="BC151" s="2204"/>
      <c r="BD151" s="2204"/>
      <c r="BE151" s="2204"/>
      <c r="BF151" s="2204"/>
      <c r="BG151" s="2204"/>
      <c r="BH151" s="2204"/>
      <c r="BI151" s="2204"/>
      <c r="BJ151" s="2204"/>
      <c r="BK151" s="2204"/>
      <c r="BL151" s="2204"/>
      <c r="BM151" s="2204"/>
      <c r="BN151" s="2204"/>
      <c r="BO151" s="2204"/>
      <c r="BP151" s="2204"/>
      <c r="BQ151" s="2204"/>
      <c r="BR151" s="2204"/>
      <c r="BS151" s="2204"/>
      <c r="BT151" s="2204"/>
      <c r="BU151" s="2204"/>
      <c r="BV151" s="2204"/>
      <c r="BW151" s="2204"/>
      <c r="BX151" s="2204"/>
      <c r="BY151" s="2204"/>
      <c r="BZ151" s="2204"/>
      <c r="CA151" s="2204"/>
      <c r="CB151" s="2211"/>
      <c r="CC151" s="2345"/>
      <c r="CD151" s="2345" t="str">
        <f t="shared" si="4"/>
        <v>Добавить централизованную систему для дифференциации</v>
      </c>
      <c r="CE151" s="2345"/>
      <c r="CF151" s="2345"/>
    </row>
    <row r="152" spans="1:84" s="3923" customFormat="1" ht="21" customHeight="1">
      <c r="A152" s="2335"/>
      <c r="B152" s="2335" t="s">
        <v>254</v>
      </c>
      <c r="C152" s="2335"/>
      <c r="D152" s="2335"/>
      <c r="E152" s="6764"/>
      <c r="F152" s="6763" t="s">
        <v>138</v>
      </c>
      <c r="G152" s="2335"/>
      <c r="H152" s="2335"/>
      <c r="I152" s="2335"/>
      <c r="J152" s="2335"/>
      <c r="K152" s="2335"/>
      <c r="L152" s="2336"/>
      <c r="M152" s="2337"/>
      <c r="N152" s="2337"/>
      <c r="O152" s="2337"/>
      <c r="P152" s="2338"/>
      <c r="Q152" s="2339"/>
      <c r="R152" s="2340"/>
      <c r="S152" s="2341" t="str">
        <f>INDEX(PT_DIFFERENTIATION_NUM_TER,MATCH(B152,PT_DIFFERENTIATION_TER_ID,0))</f>
        <v>1.10</v>
      </c>
      <c r="T152" s="2342" t="s">
        <v>517</v>
      </c>
      <c r="U152" s="2343"/>
      <c r="V152" s="6749"/>
      <c r="W152" s="6750"/>
      <c r="X152" s="6750"/>
      <c r="Y152" s="6750"/>
      <c r="Z152" s="6750"/>
      <c r="AA152" s="6750"/>
      <c r="AB152" s="6750"/>
      <c r="AC152" s="6751"/>
      <c r="AD152" s="6749" t="str">
        <f>INDEX(PT_DIFFERENTIATION_TER,MATCH(B152,PT_DIFFERENTIATION_TER_ID,0))</f>
        <v>Территория 9</v>
      </c>
      <c r="AE152" s="6750"/>
      <c r="AF152" s="6750"/>
      <c r="AG152" s="6750"/>
      <c r="AH152" s="6750"/>
      <c r="AI152" s="6750"/>
      <c r="AJ152" s="6750"/>
      <c r="AK152" s="6750"/>
      <c r="AL152" s="6749"/>
      <c r="AM152" s="6750"/>
      <c r="AN152" s="6750"/>
      <c r="AO152" s="6750"/>
      <c r="AP152" s="6750"/>
      <c r="AQ152" s="6750"/>
      <c r="AR152" s="6750"/>
      <c r="AS152" s="6751"/>
      <c r="AT152" s="6749"/>
      <c r="AU152" s="6750"/>
      <c r="AV152" s="6750"/>
      <c r="AW152" s="6750"/>
      <c r="AX152" s="6750"/>
      <c r="AY152" s="6750"/>
      <c r="AZ152" s="6750"/>
      <c r="BA152" s="6751"/>
      <c r="BB152" s="6749"/>
      <c r="BC152" s="6750"/>
      <c r="BD152" s="6750"/>
      <c r="BE152" s="6750"/>
      <c r="BF152" s="6750"/>
      <c r="BG152" s="6750"/>
      <c r="BH152" s="6750"/>
      <c r="BI152" s="6751"/>
      <c r="BJ152" s="6749"/>
      <c r="BK152" s="6750"/>
      <c r="BL152" s="6750"/>
      <c r="BM152" s="6750"/>
      <c r="BN152" s="6750"/>
      <c r="BO152" s="6750"/>
      <c r="BP152" s="6750"/>
      <c r="BQ152" s="6751"/>
      <c r="BR152" s="6749"/>
      <c r="BS152" s="6750"/>
      <c r="BT152" s="6750"/>
      <c r="BU152" s="6750"/>
      <c r="BV152" s="6750"/>
      <c r="BW152" s="6750"/>
      <c r="BX152" s="6750"/>
      <c r="BY152" s="6751"/>
      <c r="BZ152" s="6751"/>
      <c r="CA152" s="2344" t="s">
        <v>518</v>
      </c>
      <c r="CB152" s="2211"/>
      <c r="CC152" s="2345"/>
      <c r="CD152" s="2345" t="str">
        <f t="shared" si="4"/>
        <v>Территория действия тарифа</v>
      </c>
      <c r="CE152" s="2345"/>
      <c r="CF152" s="2345"/>
    </row>
    <row r="153" spans="1:84" s="3924" customFormat="1" ht="23.25" customHeight="1">
      <c r="A153" s="2335"/>
      <c r="B153" s="2335"/>
      <c r="C153" s="2335" t="s">
        <v>255</v>
      </c>
      <c r="D153" s="2335"/>
      <c r="E153" s="6764"/>
      <c r="F153" s="6764" t="s">
        <v>133</v>
      </c>
      <c r="G153" s="6763">
        <v>1</v>
      </c>
      <c r="H153" s="2335"/>
      <c r="I153" s="2335"/>
      <c r="J153" s="2335"/>
      <c r="K153" s="2335"/>
      <c r="L153" s="2336"/>
      <c r="M153" s="2337"/>
      <c r="N153" s="2337"/>
      <c r="O153" s="2337"/>
      <c r="P153" s="2347"/>
      <c r="Q153" s="2339"/>
      <c r="R153" s="2340"/>
      <c r="S153" s="2341" t="str">
        <f>INDEX(PT_DIFFERENTIATION_NUM_CS,MATCH(C153,PT_DIFFERENTIATION_CS_ID,0))</f>
        <v>1.10.1</v>
      </c>
      <c r="T153" s="2348" t="s">
        <v>519</v>
      </c>
      <c r="U153" s="2343"/>
      <c r="V153" s="6749"/>
      <c r="W153" s="6750"/>
      <c r="X153" s="6750"/>
      <c r="Y153" s="6750"/>
      <c r="Z153" s="6750"/>
      <c r="AA153" s="6750"/>
      <c r="AB153" s="6750"/>
      <c r="AC153" s="6751"/>
      <c r="AD153" s="6749" t="str">
        <f>INDEX(PT_DIFFERENTIATION_CS,MATCH(C153,PT_DIFFERENTIATION_CS_ID,0))</f>
        <v>без дифференциации</v>
      </c>
      <c r="AE153" s="6750"/>
      <c r="AF153" s="6750"/>
      <c r="AG153" s="6750"/>
      <c r="AH153" s="6750"/>
      <c r="AI153" s="6750"/>
      <c r="AJ153" s="6750"/>
      <c r="AK153" s="6750"/>
      <c r="AL153" s="6749"/>
      <c r="AM153" s="6750"/>
      <c r="AN153" s="6750"/>
      <c r="AO153" s="6750"/>
      <c r="AP153" s="6750"/>
      <c r="AQ153" s="6750"/>
      <c r="AR153" s="6750"/>
      <c r="AS153" s="6751"/>
      <c r="AT153" s="6749"/>
      <c r="AU153" s="6750"/>
      <c r="AV153" s="6750"/>
      <c r="AW153" s="6750"/>
      <c r="AX153" s="6750"/>
      <c r="AY153" s="6750"/>
      <c r="AZ153" s="6750"/>
      <c r="BA153" s="6751"/>
      <c r="BB153" s="6749"/>
      <c r="BC153" s="6750"/>
      <c r="BD153" s="6750"/>
      <c r="BE153" s="6750"/>
      <c r="BF153" s="6750"/>
      <c r="BG153" s="6750"/>
      <c r="BH153" s="6750"/>
      <c r="BI153" s="6751"/>
      <c r="BJ153" s="6749"/>
      <c r="BK153" s="6750"/>
      <c r="BL153" s="6750"/>
      <c r="BM153" s="6750"/>
      <c r="BN153" s="6750"/>
      <c r="BO153" s="6750"/>
      <c r="BP153" s="6750"/>
      <c r="BQ153" s="6751"/>
      <c r="BR153" s="6749"/>
      <c r="BS153" s="6750"/>
      <c r="BT153" s="6750"/>
      <c r="BU153" s="6750"/>
      <c r="BV153" s="6750"/>
      <c r="BW153" s="6750"/>
      <c r="BX153" s="6750"/>
      <c r="BY153" s="6751"/>
      <c r="BZ153" s="6751"/>
      <c r="CA153" s="2344" t="s">
        <v>520</v>
      </c>
      <c r="CB153" s="2211"/>
      <c r="CC153" s="2345"/>
      <c r="CD153" s="2345" t="str">
        <f t="shared" si="4"/>
        <v xml:space="preserve">Наименование системы теплоснабжения </v>
      </c>
      <c r="CE153" s="2345"/>
      <c r="CF153" s="2345"/>
    </row>
    <row r="154" spans="1:84" s="3925" customFormat="1" ht="21" customHeight="1">
      <c r="A154" s="2335"/>
      <c r="B154" s="2335"/>
      <c r="C154" s="2335"/>
      <c r="D154" s="2335" t="s">
        <v>256</v>
      </c>
      <c r="E154" s="6764"/>
      <c r="F154" s="6764" t="s">
        <v>133</v>
      </c>
      <c r="G154" s="6764"/>
      <c r="H154" s="6763">
        <v>1</v>
      </c>
      <c r="I154" s="2335"/>
      <c r="J154" s="2335"/>
      <c r="K154" s="2335"/>
      <c r="L154" s="2336"/>
      <c r="M154" s="2337"/>
      <c r="N154" s="2337"/>
      <c r="O154" s="2337"/>
      <c r="P154" s="2347"/>
      <c r="Q154" s="2339"/>
      <c r="R154" s="2340"/>
      <c r="S154" s="2341" t="str">
        <f>INDEX(PT_DIFFERENTIATION_NUM_IST_TE,MATCH(D154,PT_DIFFERENTIATION_IST_TE_ID,0))</f>
        <v>1.10.1.1</v>
      </c>
      <c r="T154" s="2350" t="s">
        <v>521</v>
      </c>
      <c r="U154" s="2343"/>
      <c r="V154" s="6749"/>
      <c r="W154" s="6750"/>
      <c r="X154" s="6750"/>
      <c r="Y154" s="6750"/>
      <c r="Z154" s="6750"/>
      <c r="AA154" s="6750"/>
      <c r="AB154" s="6750"/>
      <c r="AC154" s="6751"/>
      <c r="AD154" s="6749" t="str">
        <f>INDEX(PT_DIFFERENTIATION_IST_TE,MATCH(D154,PT_DIFFERENTIATION_IST_TE_ID,0))</f>
        <v>без дифференциации</v>
      </c>
      <c r="AE154" s="6750"/>
      <c r="AF154" s="6750"/>
      <c r="AG154" s="6750"/>
      <c r="AH154" s="6750"/>
      <c r="AI154" s="6750"/>
      <c r="AJ154" s="6750"/>
      <c r="AK154" s="6750"/>
      <c r="AL154" s="6749"/>
      <c r="AM154" s="6750"/>
      <c r="AN154" s="6750"/>
      <c r="AO154" s="6750"/>
      <c r="AP154" s="6750"/>
      <c r="AQ154" s="6750"/>
      <c r="AR154" s="6750"/>
      <c r="AS154" s="6751"/>
      <c r="AT154" s="6749"/>
      <c r="AU154" s="6750"/>
      <c r="AV154" s="6750"/>
      <c r="AW154" s="6750"/>
      <c r="AX154" s="6750"/>
      <c r="AY154" s="6750"/>
      <c r="AZ154" s="6750"/>
      <c r="BA154" s="6751"/>
      <c r="BB154" s="6749"/>
      <c r="BC154" s="6750"/>
      <c r="BD154" s="6750"/>
      <c r="BE154" s="6750"/>
      <c r="BF154" s="6750"/>
      <c r="BG154" s="6750"/>
      <c r="BH154" s="6750"/>
      <c r="BI154" s="6751"/>
      <c r="BJ154" s="6749"/>
      <c r="BK154" s="6750"/>
      <c r="BL154" s="6750"/>
      <c r="BM154" s="6750"/>
      <c r="BN154" s="6750"/>
      <c r="BO154" s="6750"/>
      <c r="BP154" s="6750"/>
      <c r="BQ154" s="6751"/>
      <c r="BR154" s="6749"/>
      <c r="BS154" s="6750"/>
      <c r="BT154" s="6750"/>
      <c r="BU154" s="6750"/>
      <c r="BV154" s="6750"/>
      <c r="BW154" s="6750"/>
      <c r="BX154" s="6750"/>
      <c r="BY154" s="6751"/>
      <c r="BZ154" s="6751"/>
      <c r="CA154" s="2344" t="s">
        <v>522</v>
      </c>
      <c r="CB154" s="2211"/>
      <c r="CC154" s="2345"/>
      <c r="CD154" s="2345" t="str">
        <f t="shared" si="4"/>
        <v xml:space="preserve">Источник тепловой энергии  </v>
      </c>
      <c r="CE154" s="2345"/>
      <c r="CF154" s="2345"/>
    </row>
    <row r="155" spans="1:84" s="3926" customFormat="1" ht="47.25" customHeight="1">
      <c r="A155" s="2335"/>
      <c r="B155" s="2335"/>
      <c r="C155" s="2335"/>
      <c r="D155" s="2335"/>
      <c r="E155" s="6764"/>
      <c r="F155" s="6764" t="s">
        <v>133</v>
      </c>
      <c r="G155" s="6764"/>
      <c r="H155" s="6764"/>
      <c r="I155" s="6761" t="str">
        <f>S154&amp;".1"</f>
        <v>1.10.1.1.1</v>
      </c>
      <c r="J155" s="2335"/>
      <c r="K155" s="2335"/>
      <c r="L155" s="2336" t="s">
        <v>523</v>
      </c>
      <c r="M155" s="2205"/>
      <c r="N155" s="2352"/>
      <c r="O155" s="2352"/>
      <c r="P155" s="6762">
        <v>1</v>
      </c>
      <c r="Q155" s="2353"/>
      <c r="R155" s="2354"/>
      <c r="S155" s="2341" t="str">
        <f>$I155</f>
        <v>1.10.1.1.1</v>
      </c>
      <c r="T155" s="2355" t="s">
        <v>524</v>
      </c>
      <c r="U155" s="2343"/>
      <c r="V155" s="6752"/>
      <c r="W155" s="6753"/>
      <c r="X155" s="6753"/>
      <c r="Y155" s="6753"/>
      <c r="Z155" s="6753"/>
      <c r="AA155" s="6753"/>
      <c r="AB155" s="6753"/>
      <c r="AC155" s="6754"/>
      <c r="AD155" s="6752" t="s">
        <v>566</v>
      </c>
      <c r="AE155" s="6753"/>
      <c r="AF155" s="6753"/>
      <c r="AG155" s="6753"/>
      <c r="AH155" s="6753"/>
      <c r="AI155" s="6753"/>
      <c r="AJ155" s="6753"/>
      <c r="AK155" s="6753"/>
      <c r="AL155" s="6752"/>
      <c r="AM155" s="6753"/>
      <c r="AN155" s="6753"/>
      <c r="AO155" s="6753"/>
      <c r="AP155" s="6753"/>
      <c r="AQ155" s="6753"/>
      <c r="AR155" s="6753"/>
      <c r="AS155" s="6754"/>
      <c r="AT155" s="6752"/>
      <c r="AU155" s="6753"/>
      <c r="AV155" s="6753"/>
      <c r="AW155" s="6753"/>
      <c r="AX155" s="6753"/>
      <c r="AY155" s="6753"/>
      <c r="AZ155" s="6753"/>
      <c r="BA155" s="6754"/>
      <c r="BB155" s="6752"/>
      <c r="BC155" s="6753"/>
      <c r="BD155" s="6753"/>
      <c r="BE155" s="6753"/>
      <c r="BF155" s="6753"/>
      <c r="BG155" s="6753"/>
      <c r="BH155" s="6753"/>
      <c r="BI155" s="6754"/>
      <c r="BJ155" s="6752"/>
      <c r="BK155" s="6753"/>
      <c r="BL155" s="6753"/>
      <c r="BM155" s="6753"/>
      <c r="BN155" s="6753"/>
      <c r="BO155" s="6753"/>
      <c r="BP155" s="6753"/>
      <c r="BQ155" s="6754"/>
      <c r="BR155" s="6752"/>
      <c r="BS155" s="6753"/>
      <c r="BT155" s="6753"/>
      <c r="BU155" s="6753"/>
      <c r="BV155" s="6753"/>
      <c r="BW155" s="6753"/>
      <c r="BX155" s="6753"/>
      <c r="BY155" s="6754"/>
      <c r="BZ155" s="6754"/>
      <c r="CA155" s="2344" t="s">
        <v>525</v>
      </c>
      <c r="CB155" s="2211"/>
      <c r="CC155" s="2345"/>
      <c r="CD155" s="2345" t="str">
        <f t="shared" si="4"/>
        <v>Схема подключения теплопотребляющей установки к коллектору источника тепловой энергии</v>
      </c>
      <c r="CE155" s="2345"/>
      <c r="CF155" s="2345"/>
    </row>
    <row r="156" spans="1:84" s="3927" customFormat="1" ht="21" customHeight="1">
      <c r="A156" s="2335"/>
      <c r="B156" s="2335"/>
      <c r="C156" s="2335"/>
      <c r="D156" s="2335"/>
      <c r="E156" s="6764"/>
      <c r="F156" s="6764" t="s">
        <v>133</v>
      </c>
      <c r="G156" s="6764"/>
      <c r="H156" s="6764"/>
      <c r="I156" s="6784"/>
      <c r="J156" s="6761" t="str">
        <f>I155&amp;".1"</f>
        <v>1.10.1.1.1.1</v>
      </c>
      <c r="K156" s="2335"/>
      <c r="L156" s="2336" t="s">
        <v>526</v>
      </c>
      <c r="M156" s="2205"/>
      <c r="N156" s="2205"/>
      <c r="O156" s="2352"/>
      <c r="P156" s="6762"/>
      <c r="Q156" s="6762">
        <v>1</v>
      </c>
      <c r="R156" s="2357"/>
      <c r="S156" s="2341" t="str">
        <f>$J156</f>
        <v>1.10.1.1.1.1</v>
      </c>
      <c r="T156" s="2358" t="s">
        <v>527</v>
      </c>
      <c r="U156" s="2343"/>
      <c r="V156" s="6752"/>
      <c r="W156" s="6753"/>
      <c r="X156" s="6753"/>
      <c r="Y156" s="6753"/>
      <c r="Z156" s="6753"/>
      <c r="AA156" s="6753"/>
      <c r="AB156" s="6753"/>
      <c r="AC156" s="6754"/>
      <c r="AD156" s="6752" t="s">
        <v>566</v>
      </c>
      <c r="AE156" s="6753"/>
      <c r="AF156" s="6753"/>
      <c r="AG156" s="6753"/>
      <c r="AH156" s="6753"/>
      <c r="AI156" s="6753"/>
      <c r="AJ156" s="6753"/>
      <c r="AK156" s="6753"/>
      <c r="AL156" s="6752"/>
      <c r="AM156" s="6753"/>
      <c r="AN156" s="6753"/>
      <c r="AO156" s="6753"/>
      <c r="AP156" s="6753"/>
      <c r="AQ156" s="6753"/>
      <c r="AR156" s="6753"/>
      <c r="AS156" s="6754"/>
      <c r="AT156" s="6752"/>
      <c r="AU156" s="6753"/>
      <c r="AV156" s="6753"/>
      <c r="AW156" s="6753"/>
      <c r="AX156" s="6753"/>
      <c r="AY156" s="6753"/>
      <c r="AZ156" s="6753"/>
      <c r="BA156" s="6754"/>
      <c r="BB156" s="6752"/>
      <c r="BC156" s="6753"/>
      <c r="BD156" s="6753"/>
      <c r="BE156" s="6753"/>
      <c r="BF156" s="6753"/>
      <c r="BG156" s="6753"/>
      <c r="BH156" s="6753"/>
      <c r="BI156" s="6754"/>
      <c r="BJ156" s="6752"/>
      <c r="BK156" s="6753"/>
      <c r="BL156" s="6753"/>
      <c r="BM156" s="6753"/>
      <c r="BN156" s="6753"/>
      <c r="BO156" s="6753"/>
      <c r="BP156" s="6753"/>
      <c r="BQ156" s="6754"/>
      <c r="BR156" s="6752"/>
      <c r="BS156" s="6753"/>
      <c r="BT156" s="6753"/>
      <c r="BU156" s="6753"/>
      <c r="BV156" s="6753"/>
      <c r="BW156" s="6753"/>
      <c r="BX156" s="6753"/>
      <c r="BY156" s="6754"/>
      <c r="BZ156" s="6754"/>
      <c r="CA156" s="2344" t="s">
        <v>528</v>
      </c>
      <c r="CB156" s="2211"/>
      <c r="CC156" s="2345"/>
      <c r="CD156" s="2345" t="str">
        <f t="shared" si="4"/>
        <v>Группа потребителей</v>
      </c>
      <c r="CE156" s="2345"/>
      <c r="CF156" s="2345"/>
    </row>
    <row r="157" spans="1:84" s="3928" customFormat="1" ht="21" customHeight="1">
      <c r="A157" s="2335"/>
      <c r="B157" s="2335"/>
      <c r="C157" s="2335"/>
      <c r="D157" s="2335"/>
      <c r="E157" s="6764"/>
      <c r="F157" s="6764" t="s">
        <v>133</v>
      </c>
      <c r="G157" s="6764"/>
      <c r="H157" s="6764"/>
      <c r="I157" s="6784"/>
      <c r="J157" s="6784"/>
      <c r="K157" s="6761" t="str">
        <f>J156&amp;".1"</f>
        <v>1.10.1.1.1.1.1</v>
      </c>
      <c r="L157" s="2336" t="s">
        <v>529</v>
      </c>
      <c r="M157" s="2205"/>
      <c r="N157" s="2205"/>
      <c r="O157" s="2205"/>
      <c r="P157" s="6762"/>
      <c r="Q157" s="6762"/>
      <c r="R157" s="2357">
        <v>1</v>
      </c>
      <c r="S157" s="2341" t="str">
        <f>$K157</f>
        <v>1.10.1.1.1.1.1</v>
      </c>
      <c r="T157" s="2360" t="s">
        <v>567</v>
      </c>
      <c r="U157" s="2343"/>
      <c r="V157" s="2763"/>
      <c r="W157" s="2763"/>
      <c r="X157" s="2763"/>
      <c r="Y157" s="2764"/>
      <c r="Z157" s="6768"/>
      <c r="AA157" s="6769" t="s">
        <v>61</v>
      </c>
      <c r="AB157" s="6768"/>
      <c r="AC157" s="6769" t="s">
        <v>61</v>
      </c>
      <c r="AD157" s="2078">
        <v>2500.06</v>
      </c>
      <c r="AE157" s="2079"/>
      <c r="AF157" s="2078"/>
      <c r="AG157" s="2080"/>
      <c r="AH157" s="6766">
        <v>45292.700474537036</v>
      </c>
      <c r="AI157" s="6610" t="s">
        <v>61</v>
      </c>
      <c r="AJ157" s="6766">
        <v>45838.700590277775</v>
      </c>
      <c r="AK157" s="6610" t="s">
        <v>61</v>
      </c>
      <c r="AL157" s="2078">
        <v>2762.52</v>
      </c>
      <c r="AM157" s="2079"/>
      <c r="AN157" s="2078"/>
      <c r="AO157" s="2080"/>
      <c r="AP157" s="6766">
        <v>45839.700902777775</v>
      </c>
      <c r="AQ157" s="6610" t="s">
        <v>61</v>
      </c>
      <c r="AR157" s="6766">
        <v>46203.701249999998</v>
      </c>
      <c r="AS157" s="6610" t="s">
        <v>61</v>
      </c>
      <c r="AT157" s="2078">
        <v>2858.8</v>
      </c>
      <c r="AU157" s="2079"/>
      <c r="AV157" s="2078"/>
      <c r="AW157" s="2080"/>
      <c r="AX157" s="6766">
        <v>46204.70171296296</v>
      </c>
      <c r="AY157" s="6610" t="s">
        <v>61</v>
      </c>
      <c r="AZ157" s="6766">
        <v>46568.701979166668</v>
      </c>
      <c r="BA157" s="6610" t="s">
        <v>61</v>
      </c>
      <c r="BB157" s="2078">
        <v>2954.78</v>
      </c>
      <c r="BC157" s="2079"/>
      <c r="BD157" s="2078"/>
      <c r="BE157" s="2080"/>
      <c r="BF157" s="6766">
        <v>46569.702326388891</v>
      </c>
      <c r="BG157" s="6610" t="s">
        <v>61</v>
      </c>
      <c r="BH157" s="6766">
        <v>46934.702604166669</v>
      </c>
      <c r="BI157" s="6610" t="s">
        <v>61</v>
      </c>
      <c r="BJ157" s="2078">
        <v>3054.14</v>
      </c>
      <c r="BK157" s="2079"/>
      <c r="BL157" s="2078"/>
      <c r="BM157" s="2080"/>
      <c r="BN157" s="6766">
        <v>46935.702881944446</v>
      </c>
      <c r="BO157" s="6610" t="s">
        <v>61</v>
      </c>
      <c r="BP157" s="6766">
        <v>47118.703067129631</v>
      </c>
      <c r="BQ157" s="6610" t="s">
        <v>56</v>
      </c>
      <c r="BR157" s="2763"/>
      <c r="BS157" s="2763"/>
      <c r="BT157" s="2763"/>
      <c r="BU157" s="2764"/>
      <c r="BV157" s="6768"/>
      <c r="BW157" s="6769" t="s">
        <v>61</v>
      </c>
      <c r="BX157" s="6768"/>
      <c r="BY157" s="6769" t="s">
        <v>61</v>
      </c>
      <c r="BZ157" s="2079"/>
      <c r="CA157" s="6758" t="s">
        <v>530</v>
      </c>
      <c r="CB157" s="2211" t="e">
        <f ca="1">STRCHECKDATE(V158:BZ158)</f>
        <v>#NAME?</v>
      </c>
      <c r="CC157" s="2345"/>
      <c r="CD157" s="2345" t="str">
        <f t="shared" si="4"/>
        <v>вода</v>
      </c>
      <c r="CE157" s="2345"/>
      <c r="CF157" s="2345"/>
    </row>
    <row r="158" spans="1:84" s="3929" customFormat="1" ht="0.75" customHeight="1">
      <c r="A158" s="2335"/>
      <c r="B158" s="2335"/>
      <c r="C158" s="2335"/>
      <c r="D158" s="2335"/>
      <c r="E158" s="6764"/>
      <c r="F158" s="6764" t="s">
        <v>133</v>
      </c>
      <c r="G158" s="6764"/>
      <c r="H158" s="6764"/>
      <c r="I158" s="6784"/>
      <c r="J158" s="6784"/>
      <c r="K158" s="6761"/>
      <c r="L158" s="2336"/>
      <c r="M158" s="2205"/>
      <c r="N158" s="2205"/>
      <c r="O158" s="2205"/>
      <c r="P158" s="6762"/>
      <c r="Q158" s="6762"/>
      <c r="R158" s="2357"/>
      <c r="S158" s="2362"/>
      <c r="T158" s="2343"/>
      <c r="U158" s="2343"/>
      <c r="V158" s="2763"/>
      <c r="W158" s="2763"/>
      <c r="X158" s="2763"/>
      <c r="Y158" s="2082" t="str">
        <f>Z157&amp;"-"&amp;AB157</f>
        <v>-</v>
      </c>
      <c r="Z158" s="6769"/>
      <c r="AA158" s="6769"/>
      <c r="AB158" s="6769"/>
      <c r="AC158" s="6769"/>
      <c r="AD158" s="2079"/>
      <c r="AE158" s="2079"/>
      <c r="AF158" s="2079"/>
      <c r="AG158" s="2082" t="str">
        <f>AH157&amp;"-"&amp;AJ157</f>
        <v>45292,700474537-45838,7005902778</v>
      </c>
      <c r="AH158" s="6767"/>
      <c r="AI158" s="6610"/>
      <c r="AJ158" s="6767"/>
      <c r="AK158" s="6610"/>
      <c r="AL158" s="2079"/>
      <c r="AM158" s="2079"/>
      <c r="AN158" s="2079"/>
      <c r="AO158" s="2082" t="str">
        <f>AP157&amp;"-"&amp;AR157</f>
        <v>45839,7009027778-46203,70125</v>
      </c>
      <c r="AP158" s="6767"/>
      <c r="AQ158" s="6610"/>
      <c r="AR158" s="6767"/>
      <c r="AS158" s="6610"/>
      <c r="AT158" s="2079"/>
      <c r="AU158" s="2079"/>
      <c r="AV158" s="2079"/>
      <c r="AW158" s="2082" t="str">
        <f>AX157&amp;"-"&amp;AZ157</f>
        <v>46204,701712963-46568,7019791667</v>
      </c>
      <c r="AX158" s="6767"/>
      <c r="AY158" s="6610"/>
      <c r="AZ158" s="6767"/>
      <c r="BA158" s="6610"/>
      <c r="BB158" s="2079"/>
      <c r="BC158" s="2079"/>
      <c r="BD158" s="2079"/>
      <c r="BE158" s="2082" t="str">
        <f>BF157&amp;"-"&amp;BH157</f>
        <v>46569,7023263889-46934,7026041667</v>
      </c>
      <c r="BF158" s="6767"/>
      <c r="BG158" s="6610"/>
      <c r="BH158" s="6767"/>
      <c r="BI158" s="6610"/>
      <c r="BJ158" s="2079"/>
      <c r="BK158" s="2079"/>
      <c r="BL158" s="2079"/>
      <c r="BM158" s="2082" t="str">
        <f>BN157&amp;"-"&amp;BP157</f>
        <v>46935,7028819444-47118,7030671296</v>
      </c>
      <c r="BN158" s="6767"/>
      <c r="BO158" s="6610"/>
      <c r="BP158" s="6767"/>
      <c r="BQ158" s="6610"/>
      <c r="BR158" s="2763"/>
      <c r="BS158" s="2763"/>
      <c r="BT158" s="2763"/>
      <c r="BU158" s="2082" t="str">
        <f>BV157&amp;"-"&amp;BX157</f>
        <v>-</v>
      </c>
      <c r="BV158" s="6769"/>
      <c r="BW158" s="6769"/>
      <c r="BX158" s="6769"/>
      <c r="BY158" s="6769"/>
      <c r="BZ158" s="2079"/>
      <c r="CA158" s="6759"/>
      <c r="CB158" s="2211"/>
      <c r="CC158" s="2345"/>
      <c r="CD158" s="2345" t="str">
        <f t="shared" si="4"/>
        <v/>
      </c>
      <c r="CE158" s="2345"/>
      <c r="CF158" s="2345"/>
    </row>
    <row r="159" spans="1:84" s="3930" customFormat="1" ht="15" customHeight="1">
      <c r="A159" s="2335"/>
      <c r="B159" s="2335"/>
      <c r="C159" s="2335"/>
      <c r="D159" s="2335"/>
      <c r="E159" s="6764"/>
      <c r="F159" s="6764" t="s">
        <v>133</v>
      </c>
      <c r="G159" s="6764"/>
      <c r="H159" s="6764"/>
      <c r="I159" s="6784"/>
      <c r="J159" s="6761"/>
      <c r="K159" s="2335"/>
      <c r="L159" s="2336"/>
      <c r="M159" s="2205"/>
      <c r="N159" s="2205"/>
      <c r="O159" s="2352"/>
      <c r="P159" s="6762"/>
      <c r="Q159" s="6762"/>
      <c r="R159" s="2354"/>
      <c r="S159" s="3931"/>
      <c r="T159" s="3932" t="s">
        <v>531</v>
      </c>
      <c r="U159" s="3933"/>
      <c r="V159" s="3934"/>
      <c r="W159" s="3935"/>
      <c r="X159" s="3936"/>
      <c r="Y159" s="3937"/>
      <c r="Z159" s="3938"/>
      <c r="AA159" s="3939"/>
      <c r="AB159" s="3940"/>
      <c r="AC159" s="3941"/>
      <c r="AD159" s="3942"/>
      <c r="AE159" s="3943"/>
      <c r="AF159" s="3944"/>
      <c r="AG159" s="3945"/>
      <c r="AH159" s="3946"/>
      <c r="AI159" s="3947"/>
      <c r="AJ159" s="3948"/>
      <c r="AK159" s="3949"/>
      <c r="AL159" s="3950"/>
      <c r="AM159" s="3951"/>
      <c r="AN159" s="3952"/>
      <c r="AO159" s="3953"/>
      <c r="AP159" s="3954"/>
      <c r="AQ159" s="3955"/>
      <c r="AR159" s="3956"/>
      <c r="AS159" s="3957"/>
      <c r="AT159" s="3958"/>
      <c r="AU159" s="3959"/>
      <c r="AV159" s="3960"/>
      <c r="AW159" s="3961"/>
      <c r="AX159" s="3962"/>
      <c r="AY159" s="3963"/>
      <c r="AZ159" s="3964"/>
      <c r="BA159" s="3965"/>
      <c r="BB159" s="3966"/>
      <c r="BC159" s="3967"/>
      <c r="BD159" s="3968"/>
      <c r="BE159" s="3969"/>
      <c r="BF159" s="3970"/>
      <c r="BG159" s="3971"/>
      <c r="BH159" s="3972"/>
      <c r="BI159" s="3973"/>
      <c r="BJ159" s="3974"/>
      <c r="BK159" s="3975"/>
      <c r="BL159" s="3976"/>
      <c r="BM159" s="3977"/>
      <c r="BN159" s="3978"/>
      <c r="BO159" s="3979"/>
      <c r="BP159" s="3980"/>
      <c r="BQ159" s="3981"/>
      <c r="BR159" s="3982"/>
      <c r="BS159" s="3983"/>
      <c r="BT159" s="3984"/>
      <c r="BU159" s="3985"/>
      <c r="BV159" s="3986"/>
      <c r="BW159" s="3987"/>
      <c r="BX159" s="3988"/>
      <c r="BY159" s="3989"/>
      <c r="BZ159" s="3990"/>
      <c r="CA159" s="6760"/>
      <c r="CB159" s="2211"/>
      <c r="CC159" s="2345"/>
      <c r="CD159" s="2345" t="str">
        <f t="shared" si="4"/>
        <v>Добавить вид теплоносителя (параметры теплоносителя)</v>
      </c>
      <c r="CE159" s="2345"/>
      <c r="CF159" s="2345"/>
    </row>
    <row r="160" spans="1:84" s="3991" customFormat="1" ht="15" customHeight="1">
      <c r="A160" s="2335"/>
      <c r="B160" s="2335"/>
      <c r="C160" s="2335"/>
      <c r="D160" s="2335"/>
      <c r="E160" s="6764"/>
      <c r="F160" s="6764" t="s">
        <v>133</v>
      </c>
      <c r="G160" s="6764"/>
      <c r="H160" s="6764"/>
      <c r="I160" s="6761"/>
      <c r="J160" s="2335"/>
      <c r="K160" s="2335"/>
      <c r="L160" s="2336"/>
      <c r="M160" s="2205"/>
      <c r="N160" s="2352"/>
      <c r="O160" s="2352"/>
      <c r="P160" s="6762"/>
      <c r="Q160" s="2353"/>
      <c r="R160" s="2354"/>
      <c r="S160" s="3992"/>
      <c r="T160" s="3993" t="s">
        <v>532</v>
      </c>
      <c r="U160" s="3994"/>
      <c r="V160" s="3995"/>
      <c r="W160" s="3996"/>
      <c r="X160" s="3997"/>
      <c r="Y160" s="3998"/>
      <c r="Z160" s="3999"/>
      <c r="AA160" s="4000"/>
      <c r="AB160" s="4001"/>
      <c r="AC160" s="4002"/>
      <c r="AD160" s="4003"/>
      <c r="AE160" s="4004"/>
      <c r="AF160" s="4005"/>
      <c r="AG160" s="4006"/>
      <c r="AH160" s="4007"/>
      <c r="AI160" s="4008"/>
      <c r="AJ160" s="4009"/>
      <c r="AK160" s="4010"/>
      <c r="AL160" s="4011"/>
      <c r="AM160" s="4012"/>
      <c r="AN160" s="4013"/>
      <c r="AO160" s="4014"/>
      <c r="AP160" s="4015"/>
      <c r="AQ160" s="4016"/>
      <c r="AR160" s="4017"/>
      <c r="AS160" s="4018"/>
      <c r="AT160" s="4019"/>
      <c r="AU160" s="4020"/>
      <c r="AV160" s="4021"/>
      <c r="AW160" s="4022"/>
      <c r="AX160" s="4023"/>
      <c r="AY160" s="4024"/>
      <c r="AZ160" s="4025"/>
      <c r="BA160" s="4026"/>
      <c r="BB160" s="4027"/>
      <c r="BC160" s="4028"/>
      <c r="BD160" s="4029"/>
      <c r="BE160" s="4030"/>
      <c r="BF160" s="4031"/>
      <c r="BG160" s="4032"/>
      <c r="BH160" s="4033"/>
      <c r="BI160" s="4034"/>
      <c r="BJ160" s="4035"/>
      <c r="BK160" s="4036"/>
      <c r="BL160" s="4037"/>
      <c r="BM160" s="4038"/>
      <c r="BN160" s="4039"/>
      <c r="BO160" s="4040"/>
      <c r="BP160" s="4041"/>
      <c r="BQ160" s="4042"/>
      <c r="BR160" s="4043"/>
      <c r="BS160" s="4044"/>
      <c r="BT160" s="4045"/>
      <c r="BU160" s="4046"/>
      <c r="BV160" s="4047"/>
      <c r="BW160" s="4048"/>
      <c r="BX160" s="4049"/>
      <c r="BY160" s="4050"/>
      <c r="BZ160" s="4051"/>
      <c r="CA160" s="4052"/>
      <c r="CB160" s="2211"/>
      <c r="CC160" s="2345"/>
      <c r="CD160" s="2345" t="str">
        <f t="shared" si="4"/>
        <v>Добавить группу потребителей</v>
      </c>
      <c r="CE160" s="2345"/>
      <c r="CF160" s="2345"/>
    </row>
    <row r="161" spans="1:84" s="4053" customFormat="1" ht="14.25" customHeight="1">
      <c r="A161" s="2335"/>
      <c r="B161" s="2335"/>
      <c r="C161" s="2335"/>
      <c r="D161" s="2335"/>
      <c r="E161" s="6764"/>
      <c r="F161" s="6764" t="s">
        <v>133</v>
      </c>
      <c r="G161" s="6764"/>
      <c r="H161" s="6763"/>
      <c r="I161" s="2335"/>
      <c r="J161" s="2335"/>
      <c r="K161" s="2335"/>
      <c r="L161" s="2336"/>
      <c r="M161" s="2337"/>
      <c r="N161" s="2337"/>
      <c r="O161" s="2205"/>
      <c r="P161" s="2487"/>
      <c r="Q161" s="2488"/>
      <c r="R161" s="2489"/>
      <c r="S161" s="4054"/>
      <c r="T161" s="4055" t="s">
        <v>533</v>
      </c>
      <c r="U161" s="4056"/>
      <c r="V161" s="4057"/>
      <c r="W161" s="4058"/>
      <c r="X161" s="4059"/>
      <c r="Y161" s="4060"/>
      <c r="Z161" s="4061"/>
      <c r="AA161" s="4062"/>
      <c r="AB161" s="4063"/>
      <c r="AC161" s="4064"/>
      <c r="AD161" s="4065"/>
      <c r="AE161" s="4066"/>
      <c r="AF161" s="4067"/>
      <c r="AG161" s="4068"/>
      <c r="AH161" s="4069"/>
      <c r="AI161" s="4070"/>
      <c r="AJ161" s="4071"/>
      <c r="AK161" s="4072"/>
      <c r="AL161" s="4073"/>
      <c r="AM161" s="4074"/>
      <c r="AN161" s="4075"/>
      <c r="AO161" s="4076"/>
      <c r="AP161" s="4077"/>
      <c r="AQ161" s="4078"/>
      <c r="AR161" s="4079"/>
      <c r="AS161" s="4080"/>
      <c r="AT161" s="4081"/>
      <c r="AU161" s="4082"/>
      <c r="AV161" s="4083"/>
      <c r="AW161" s="4084"/>
      <c r="AX161" s="4085"/>
      <c r="AY161" s="4086"/>
      <c r="AZ161" s="4087"/>
      <c r="BA161" s="4088"/>
      <c r="BB161" s="4089"/>
      <c r="BC161" s="4090"/>
      <c r="BD161" s="4091"/>
      <c r="BE161" s="4092"/>
      <c r="BF161" s="4093"/>
      <c r="BG161" s="4094"/>
      <c r="BH161" s="4095"/>
      <c r="BI161" s="4096"/>
      <c r="BJ161" s="4097"/>
      <c r="BK161" s="4098"/>
      <c r="BL161" s="4099"/>
      <c r="BM161" s="4100"/>
      <c r="BN161" s="4101"/>
      <c r="BO161" s="4102"/>
      <c r="BP161" s="4103"/>
      <c r="BQ161" s="4104"/>
      <c r="BR161" s="4105"/>
      <c r="BS161" s="4106"/>
      <c r="BT161" s="4107"/>
      <c r="BU161" s="4108"/>
      <c r="BV161" s="4109"/>
      <c r="BW161" s="4110"/>
      <c r="BX161" s="4111"/>
      <c r="BY161" s="4112"/>
      <c r="BZ161" s="4113"/>
      <c r="CA161" s="4114"/>
      <c r="CB161" s="2211"/>
      <c r="CC161" s="2345"/>
      <c r="CD161" s="2345" t="str">
        <f t="shared" si="4"/>
        <v>Добавить схему подключения</v>
      </c>
      <c r="CE161" s="2345"/>
      <c r="CF161" s="2345"/>
    </row>
    <row r="162" spans="1:84" s="4115" customFormat="1" ht="0.75" customHeight="1">
      <c r="A162" s="2552"/>
      <c r="B162" s="2552"/>
      <c r="C162" s="2552"/>
      <c r="D162" s="2552"/>
      <c r="E162" s="6764"/>
      <c r="F162" s="6764" t="s">
        <v>133</v>
      </c>
      <c r="G162" s="6763"/>
      <c r="H162" s="2552"/>
      <c r="I162" s="2552"/>
      <c r="J162" s="2552"/>
      <c r="K162" s="2552"/>
      <c r="L162" s="2553"/>
      <c r="M162" s="2554"/>
      <c r="N162" s="2554"/>
      <c r="O162" s="2211"/>
      <c r="P162" s="2555"/>
      <c r="Q162" s="2556"/>
      <c r="R162" s="2555"/>
      <c r="S162" s="2557"/>
      <c r="T162" s="2558" t="s">
        <v>228</v>
      </c>
      <c r="U162" s="2203"/>
      <c r="V162" s="2203"/>
      <c r="W162" s="2203"/>
      <c r="X162" s="2203"/>
      <c r="Y162" s="2203"/>
      <c r="Z162" s="2203"/>
      <c r="AA162" s="2203"/>
      <c r="AB162" s="2203"/>
      <c r="AC162" s="2203"/>
      <c r="AD162" s="2203"/>
      <c r="AE162" s="2203"/>
      <c r="AF162" s="2203"/>
      <c r="AG162" s="2203"/>
      <c r="AH162" s="2203"/>
      <c r="AI162" s="2203"/>
      <c r="AJ162" s="2203"/>
      <c r="AK162" s="2203"/>
      <c r="AL162" s="2203"/>
      <c r="AM162" s="2203"/>
      <c r="AN162" s="2203"/>
      <c r="AO162" s="2203"/>
      <c r="AP162" s="2203"/>
      <c r="AQ162" s="2203"/>
      <c r="AR162" s="2203"/>
      <c r="AS162" s="2203"/>
      <c r="AT162" s="2203"/>
      <c r="AU162" s="2203"/>
      <c r="AV162" s="2203"/>
      <c r="AW162" s="2203"/>
      <c r="AX162" s="2203"/>
      <c r="AY162" s="2203"/>
      <c r="AZ162" s="2203"/>
      <c r="BA162" s="2203"/>
      <c r="BB162" s="2203"/>
      <c r="BC162" s="2203"/>
      <c r="BD162" s="2203"/>
      <c r="BE162" s="2203"/>
      <c r="BF162" s="2203"/>
      <c r="BG162" s="2203"/>
      <c r="BH162" s="2203"/>
      <c r="BI162" s="2203"/>
      <c r="BJ162" s="2203"/>
      <c r="BK162" s="2203"/>
      <c r="BL162" s="2203"/>
      <c r="BM162" s="2203"/>
      <c r="BN162" s="2203"/>
      <c r="BO162" s="2203"/>
      <c r="BP162" s="2203"/>
      <c r="BQ162" s="2203"/>
      <c r="BR162" s="2203"/>
      <c r="BS162" s="2203"/>
      <c r="BT162" s="2203"/>
      <c r="BU162" s="2203"/>
      <c r="BV162" s="2203"/>
      <c r="BW162" s="2203"/>
      <c r="BX162" s="2203"/>
      <c r="BY162" s="2203"/>
      <c r="BZ162" s="2203"/>
      <c r="CA162" s="2203"/>
      <c r="CB162" s="2211"/>
      <c r="CC162" s="2345"/>
      <c r="CD162" s="2345" t="str">
        <f t="shared" si="4"/>
        <v>Добавить источник для дифференциации</v>
      </c>
      <c r="CE162" s="2345"/>
      <c r="CF162" s="2345"/>
    </row>
    <row r="163" spans="1:84" s="4116" customFormat="1" ht="0.75" customHeight="1">
      <c r="A163" s="2552"/>
      <c r="B163" s="2552"/>
      <c r="C163" s="2552"/>
      <c r="D163" s="2552"/>
      <c r="E163" s="6764"/>
      <c r="F163" s="6763" t="s">
        <v>133</v>
      </c>
      <c r="G163" s="2552"/>
      <c r="H163" s="2552"/>
      <c r="I163" s="2552"/>
      <c r="J163" s="2552"/>
      <c r="K163" s="2552"/>
      <c r="L163" s="2553"/>
      <c r="M163" s="2560"/>
      <c r="N163" s="2560"/>
      <c r="O163" s="2211"/>
      <c r="P163" s="2555"/>
      <c r="Q163" s="2556"/>
      <c r="R163" s="2555"/>
      <c r="S163" s="2561"/>
      <c r="T163" s="2562" t="s">
        <v>229</v>
      </c>
      <c r="U163" s="2204"/>
      <c r="V163" s="2204"/>
      <c r="W163" s="2204"/>
      <c r="X163" s="2204"/>
      <c r="Y163" s="2204"/>
      <c r="Z163" s="2204"/>
      <c r="AA163" s="2204"/>
      <c r="AB163" s="2204"/>
      <c r="AC163" s="2204"/>
      <c r="AD163" s="2204"/>
      <c r="AE163" s="2204"/>
      <c r="AF163" s="2204"/>
      <c r="AG163" s="2204"/>
      <c r="AH163" s="2204"/>
      <c r="AI163" s="2204"/>
      <c r="AJ163" s="2204"/>
      <c r="AK163" s="2204"/>
      <c r="AL163" s="2204"/>
      <c r="AM163" s="2204"/>
      <c r="AN163" s="2204"/>
      <c r="AO163" s="2204"/>
      <c r="AP163" s="2204"/>
      <c r="AQ163" s="2204"/>
      <c r="AR163" s="2204"/>
      <c r="AS163" s="2204"/>
      <c r="AT163" s="2204"/>
      <c r="AU163" s="2204"/>
      <c r="AV163" s="2204"/>
      <c r="AW163" s="2204"/>
      <c r="AX163" s="2204"/>
      <c r="AY163" s="2204"/>
      <c r="AZ163" s="2204"/>
      <c r="BA163" s="2204"/>
      <c r="BB163" s="2204"/>
      <c r="BC163" s="2204"/>
      <c r="BD163" s="2204"/>
      <c r="BE163" s="2204"/>
      <c r="BF163" s="2204"/>
      <c r="BG163" s="2204"/>
      <c r="BH163" s="2204"/>
      <c r="BI163" s="2204"/>
      <c r="BJ163" s="2204"/>
      <c r="BK163" s="2204"/>
      <c r="BL163" s="2204"/>
      <c r="BM163" s="2204"/>
      <c r="BN163" s="2204"/>
      <c r="BO163" s="2204"/>
      <c r="BP163" s="2204"/>
      <c r="BQ163" s="2204"/>
      <c r="BR163" s="2204"/>
      <c r="BS163" s="2204"/>
      <c r="BT163" s="2204"/>
      <c r="BU163" s="2204"/>
      <c r="BV163" s="2204"/>
      <c r="BW163" s="2204"/>
      <c r="BX163" s="2204"/>
      <c r="BY163" s="2204"/>
      <c r="BZ163" s="2204"/>
      <c r="CA163" s="2204"/>
      <c r="CB163" s="2211"/>
      <c r="CC163" s="2345"/>
      <c r="CD163" s="2345" t="str">
        <f t="shared" si="4"/>
        <v>Добавить централизованную систему для дифференциации</v>
      </c>
      <c r="CE163" s="2345"/>
      <c r="CF163" s="2345"/>
    </row>
    <row r="164" spans="1:84" s="4117" customFormat="1" ht="21" customHeight="1">
      <c r="A164" s="2335"/>
      <c r="B164" s="2335" t="s">
        <v>257</v>
      </c>
      <c r="C164" s="2335"/>
      <c r="D164" s="2335"/>
      <c r="E164" s="6764"/>
      <c r="F164" s="6763" t="s">
        <v>104</v>
      </c>
      <c r="G164" s="2335"/>
      <c r="H164" s="2335"/>
      <c r="I164" s="2335"/>
      <c r="J164" s="2335"/>
      <c r="K164" s="2335"/>
      <c r="L164" s="2336"/>
      <c r="M164" s="2337"/>
      <c r="N164" s="2337"/>
      <c r="O164" s="2337"/>
      <c r="P164" s="2338"/>
      <c r="Q164" s="2339"/>
      <c r="R164" s="2340"/>
      <c r="S164" s="2341" t="str">
        <f>INDEX(PT_DIFFERENTIATION_NUM_TER,MATCH(B164,PT_DIFFERENTIATION_TER_ID,0))</f>
        <v>1.11</v>
      </c>
      <c r="T164" s="2342" t="s">
        <v>517</v>
      </c>
      <c r="U164" s="2343"/>
      <c r="V164" s="6749"/>
      <c r="W164" s="6750"/>
      <c r="X164" s="6750"/>
      <c r="Y164" s="6750"/>
      <c r="Z164" s="6750"/>
      <c r="AA164" s="6750"/>
      <c r="AB164" s="6750"/>
      <c r="AC164" s="6751"/>
      <c r="AD164" s="6749" t="str">
        <f>INDEX(PT_DIFFERENTIATION_TER,MATCH(B164,PT_DIFFERENTIATION_TER_ID,0))</f>
        <v>Территория 10</v>
      </c>
      <c r="AE164" s="6750"/>
      <c r="AF164" s="6750"/>
      <c r="AG164" s="6750"/>
      <c r="AH164" s="6750"/>
      <c r="AI164" s="6750"/>
      <c r="AJ164" s="6750"/>
      <c r="AK164" s="6750"/>
      <c r="AL164" s="6749"/>
      <c r="AM164" s="6750"/>
      <c r="AN164" s="6750"/>
      <c r="AO164" s="6750"/>
      <c r="AP164" s="6750"/>
      <c r="AQ164" s="6750"/>
      <c r="AR164" s="6750"/>
      <c r="AS164" s="6751"/>
      <c r="AT164" s="6749"/>
      <c r="AU164" s="6750"/>
      <c r="AV164" s="6750"/>
      <c r="AW164" s="6750"/>
      <c r="AX164" s="6750"/>
      <c r="AY164" s="6750"/>
      <c r="AZ164" s="6750"/>
      <c r="BA164" s="6751"/>
      <c r="BB164" s="6749"/>
      <c r="BC164" s="6750"/>
      <c r="BD164" s="6750"/>
      <c r="BE164" s="6750"/>
      <c r="BF164" s="6750"/>
      <c r="BG164" s="6750"/>
      <c r="BH164" s="6750"/>
      <c r="BI164" s="6751"/>
      <c r="BJ164" s="6749"/>
      <c r="BK164" s="6750"/>
      <c r="BL164" s="6750"/>
      <c r="BM164" s="6750"/>
      <c r="BN164" s="6750"/>
      <c r="BO164" s="6750"/>
      <c r="BP164" s="6750"/>
      <c r="BQ164" s="6751"/>
      <c r="BR164" s="6749"/>
      <c r="BS164" s="6750"/>
      <c r="BT164" s="6750"/>
      <c r="BU164" s="6750"/>
      <c r="BV164" s="6750"/>
      <c r="BW164" s="6750"/>
      <c r="BX164" s="6750"/>
      <c r="BY164" s="6751"/>
      <c r="BZ164" s="6751"/>
      <c r="CA164" s="2344" t="s">
        <v>518</v>
      </c>
      <c r="CB164" s="2211"/>
      <c r="CC164" s="2345"/>
      <c r="CD164" s="2345" t="str">
        <f t="shared" si="4"/>
        <v>Территория действия тарифа</v>
      </c>
      <c r="CE164" s="2345"/>
      <c r="CF164" s="2345"/>
    </row>
    <row r="165" spans="1:84" s="4118" customFormat="1" ht="23.25" customHeight="1">
      <c r="A165" s="2335"/>
      <c r="B165" s="2335"/>
      <c r="C165" s="2335" t="s">
        <v>258</v>
      </c>
      <c r="D165" s="2335"/>
      <c r="E165" s="6764"/>
      <c r="F165" s="6764" t="s">
        <v>138</v>
      </c>
      <c r="G165" s="6763">
        <v>1</v>
      </c>
      <c r="H165" s="2335"/>
      <c r="I165" s="2335"/>
      <c r="J165" s="2335"/>
      <c r="K165" s="2335"/>
      <c r="L165" s="2336"/>
      <c r="M165" s="2337"/>
      <c r="N165" s="2337"/>
      <c r="O165" s="2337"/>
      <c r="P165" s="2347"/>
      <c r="Q165" s="2339"/>
      <c r="R165" s="2340"/>
      <c r="S165" s="2341" t="str">
        <f>INDEX(PT_DIFFERENTIATION_NUM_CS,MATCH(C165,PT_DIFFERENTIATION_CS_ID,0))</f>
        <v>1.11.1</v>
      </c>
      <c r="T165" s="2348" t="s">
        <v>519</v>
      </c>
      <c r="U165" s="2343"/>
      <c r="V165" s="6749"/>
      <c r="W165" s="6750"/>
      <c r="X165" s="6750"/>
      <c r="Y165" s="6750"/>
      <c r="Z165" s="6750"/>
      <c r="AA165" s="6750"/>
      <c r="AB165" s="6750"/>
      <c r="AC165" s="6751"/>
      <c r="AD165" s="6749" t="str">
        <f>INDEX(PT_DIFFERENTIATION_CS,MATCH(C165,PT_DIFFERENTIATION_CS_ID,0))</f>
        <v>без дифференциации</v>
      </c>
      <c r="AE165" s="6750"/>
      <c r="AF165" s="6750"/>
      <c r="AG165" s="6750"/>
      <c r="AH165" s="6750"/>
      <c r="AI165" s="6750"/>
      <c r="AJ165" s="6750"/>
      <c r="AK165" s="6750"/>
      <c r="AL165" s="6749"/>
      <c r="AM165" s="6750"/>
      <c r="AN165" s="6750"/>
      <c r="AO165" s="6750"/>
      <c r="AP165" s="6750"/>
      <c r="AQ165" s="6750"/>
      <c r="AR165" s="6750"/>
      <c r="AS165" s="6751"/>
      <c r="AT165" s="6749"/>
      <c r="AU165" s="6750"/>
      <c r="AV165" s="6750"/>
      <c r="AW165" s="6750"/>
      <c r="AX165" s="6750"/>
      <c r="AY165" s="6750"/>
      <c r="AZ165" s="6750"/>
      <c r="BA165" s="6751"/>
      <c r="BB165" s="6749"/>
      <c r="BC165" s="6750"/>
      <c r="BD165" s="6750"/>
      <c r="BE165" s="6750"/>
      <c r="BF165" s="6750"/>
      <c r="BG165" s="6750"/>
      <c r="BH165" s="6750"/>
      <c r="BI165" s="6751"/>
      <c r="BJ165" s="6749"/>
      <c r="BK165" s="6750"/>
      <c r="BL165" s="6750"/>
      <c r="BM165" s="6750"/>
      <c r="BN165" s="6750"/>
      <c r="BO165" s="6750"/>
      <c r="BP165" s="6750"/>
      <c r="BQ165" s="6751"/>
      <c r="BR165" s="6749"/>
      <c r="BS165" s="6750"/>
      <c r="BT165" s="6750"/>
      <c r="BU165" s="6750"/>
      <c r="BV165" s="6750"/>
      <c r="BW165" s="6750"/>
      <c r="BX165" s="6750"/>
      <c r="BY165" s="6751"/>
      <c r="BZ165" s="6751"/>
      <c r="CA165" s="2344" t="s">
        <v>520</v>
      </c>
      <c r="CB165" s="2211"/>
      <c r="CC165" s="2345"/>
      <c r="CD165" s="2345" t="str">
        <f t="shared" si="4"/>
        <v xml:space="preserve">Наименование системы теплоснабжения </v>
      </c>
      <c r="CE165" s="2345"/>
      <c r="CF165" s="2345"/>
    </row>
    <row r="166" spans="1:84" s="4119" customFormat="1" ht="21" customHeight="1">
      <c r="A166" s="2335"/>
      <c r="B166" s="2335"/>
      <c r="C166" s="2335"/>
      <c r="D166" s="2335" t="s">
        <v>259</v>
      </c>
      <c r="E166" s="6764"/>
      <c r="F166" s="6764" t="s">
        <v>138</v>
      </c>
      <c r="G166" s="6764"/>
      <c r="H166" s="6763">
        <v>1</v>
      </c>
      <c r="I166" s="2335"/>
      <c r="J166" s="2335"/>
      <c r="K166" s="2335"/>
      <c r="L166" s="2336"/>
      <c r="M166" s="2337"/>
      <c r="N166" s="2337"/>
      <c r="O166" s="2337"/>
      <c r="P166" s="2347"/>
      <c r="Q166" s="2339"/>
      <c r="R166" s="2340"/>
      <c r="S166" s="2341" t="str">
        <f>INDEX(PT_DIFFERENTIATION_NUM_IST_TE,MATCH(D166,PT_DIFFERENTIATION_IST_TE_ID,0))</f>
        <v>1.11.1.1</v>
      </c>
      <c r="T166" s="2350" t="s">
        <v>521</v>
      </c>
      <c r="U166" s="2343"/>
      <c r="V166" s="6749"/>
      <c r="W166" s="6750"/>
      <c r="X166" s="6750"/>
      <c r="Y166" s="6750"/>
      <c r="Z166" s="6750"/>
      <c r="AA166" s="6750"/>
      <c r="AB166" s="6750"/>
      <c r="AC166" s="6751"/>
      <c r="AD166" s="6749" t="str">
        <f>INDEX(PT_DIFFERENTIATION_IST_TE,MATCH(D166,PT_DIFFERENTIATION_IST_TE_ID,0))</f>
        <v>без дифференциации</v>
      </c>
      <c r="AE166" s="6750"/>
      <c r="AF166" s="6750"/>
      <c r="AG166" s="6750"/>
      <c r="AH166" s="6750"/>
      <c r="AI166" s="6750"/>
      <c r="AJ166" s="6750"/>
      <c r="AK166" s="6750"/>
      <c r="AL166" s="6749"/>
      <c r="AM166" s="6750"/>
      <c r="AN166" s="6750"/>
      <c r="AO166" s="6750"/>
      <c r="AP166" s="6750"/>
      <c r="AQ166" s="6750"/>
      <c r="AR166" s="6750"/>
      <c r="AS166" s="6751"/>
      <c r="AT166" s="6749"/>
      <c r="AU166" s="6750"/>
      <c r="AV166" s="6750"/>
      <c r="AW166" s="6750"/>
      <c r="AX166" s="6750"/>
      <c r="AY166" s="6750"/>
      <c r="AZ166" s="6750"/>
      <c r="BA166" s="6751"/>
      <c r="BB166" s="6749"/>
      <c r="BC166" s="6750"/>
      <c r="BD166" s="6750"/>
      <c r="BE166" s="6750"/>
      <c r="BF166" s="6750"/>
      <c r="BG166" s="6750"/>
      <c r="BH166" s="6750"/>
      <c r="BI166" s="6751"/>
      <c r="BJ166" s="6749"/>
      <c r="BK166" s="6750"/>
      <c r="BL166" s="6750"/>
      <c r="BM166" s="6750"/>
      <c r="BN166" s="6750"/>
      <c r="BO166" s="6750"/>
      <c r="BP166" s="6750"/>
      <c r="BQ166" s="6751"/>
      <c r="BR166" s="6749"/>
      <c r="BS166" s="6750"/>
      <c r="BT166" s="6750"/>
      <c r="BU166" s="6750"/>
      <c r="BV166" s="6750"/>
      <c r="BW166" s="6750"/>
      <c r="BX166" s="6750"/>
      <c r="BY166" s="6751"/>
      <c r="BZ166" s="6751"/>
      <c r="CA166" s="2344" t="s">
        <v>522</v>
      </c>
      <c r="CB166" s="2211"/>
      <c r="CC166" s="2345"/>
      <c r="CD166" s="2345" t="str">
        <f t="shared" si="4"/>
        <v xml:space="preserve">Источник тепловой энергии  </v>
      </c>
      <c r="CE166" s="2345"/>
      <c r="CF166" s="2345"/>
    </row>
    <row r="167" spans="1:84" s="4120" customFormat="1" ht="47.25" customHeight="1">
      <c r="A167" s="2335"/>
      <c r="B167" s="2335"/>
      <c r="C167" s="2335"/>
      <c r="D167" s="2335"/>
      <c r="E167" s="6764"/>
      <c r="F167" s="6764" t="s">
        <v>138</v>
      </c>
      <c r="G167" s="6764"/>
      <c r="H167" s="6764"/>
      <c r="I167" s="6761" t="str">
        <f>S166&amp;".1"</f>
        <v>1.11.1.1.1</v>
      </c>
      <c r="J167" s="2335"/>
      <c r="K167" s="2335"/>
      <c r="L167" s="2336" t="s">
        <v>523</v>
      </c>
      <c r="M167" s="2205"/>
      <c r="N167" s="2352"/>
      <c r="O167" s="2352"/>
      <c r="P167" s="6762">
        <v>1</v>
      </c>
      <c r="Q167" s="2353"/>
      <c r="R167" s="2354"/>
      <c r="S167" s="2341" t="str">
        <f>$I167</f>
        <v>1.11.1.1.1</v>
      </c>
      <c r="T167" s="2355" t="s">
        <v>524</v>
      </c>
      <c r="U167" s="2343"/>
      <c r="V167" s="6752"/>
      <c r="W167" s="6753"/>
      <c r="X167" s="6753"/>
      <c r="Y167" s="6753"/>
      <c r="Z167" s="6753"/>
      <c r="AA167" s="6753"/>
      <c r="AB167" s="6753"/>
      <c r="AC167" s="6754"/>
      <c r="AD167" s="6752" t="s">
        <v>566</v>
      </c>
      <c r="AE167" s="6753"/>
      <c r="AF167" s="6753"/>
      <c r="AG167" s="6753"/>
      <c r="AH167" s="6753"/>
      <c r="AI167" s="6753"/>
      <c r="AJ167" s="6753"/>
      <c r="AK167" s="6753"/>
      <c r="AL167" s="6752"/>
      <c r="AM167" s="6753"/>
      <c r="AN167" s="6753"/>
      <c r="AO167" s="6753"/>
      <c r="AP167" s="6753"/>
      <c r="AQ167" s="6753"/>
      <c r="AR167" s="6753"/>
      <c r="AS167" s="6754"/>
      <c r="AT167" s="6752"/>
      <c r="AU167" s="6753"/>
      <c r="AV167" s="6753"/>
      <c r="AW167" s="6753"/>
      <c r="AX167" s="6753"/>
      <c r="AY167" s="6753"/>
      <c r="AZ167" s="6753"/>
      <c r="BA167" s="6754"/>
      <c r="BB167" s="6752"/>
      <c r="BC167" s="6753"/>
      <c r="BD167" s="6753"/>
      <c r="BE167" s="6753"/>
      <c r="BF167" s="6753"/>
      <c r="BG167" s="6753"/>
      <c r="BH167" s="6753"/>
      <c r="BI167" s="6754"/>
      <c r="BJ167" s="6752"/>
      <c r="BK167" s="6753"/>
      <c r="BL167" s="6753"/>
      <c r="BM167" s="6753"/>
      <c r="BN167" s="6753"/>
      <c r="BO167" s="6753"/>
      <c r="BP167" s="6753"/>
      <c r="BQ167" s="6754"/>
      <c r="BR167" s="6752"/>
      <c r="BS167" s="6753"/>
      <c r="BT167" s="6753"/>
      <c r="BU167" s="6753"/>
      <c r="BV167" s="6753"/>
      <c r="BW167" s="6753"/>
      <c r="BX167" s="6753"/>
      <c r="BY167" s="6754"/>
      <c r="BZ167" s="6754"/>
      <c r="CA167" s="2344" t="s">
        <v>525</v>
      </c>
      <c r="CB167" s="2211"/>
      <c r="CC167" s="2345"/>
      <c r="CD167" s="2345" t="str">
        <f t="shared" si="4"/>
        <v>Схема подключения теплопотребляющей установки к коллектору источника тепловой энергии</v>
      </c>
      <c r="CE167" s="2345"/>
      <c r="CF167" s="2345"/>
    </row>
    <row r="168" spans="1:84" s="4121" customFormat="1" ht="21" customHeight="1">
      <c r="A168" s="2335"/>
      <c r="B168" s="2335"/>
      <c r="C168" s="2335"/>
      <c r="D168" s="2335"/>
      <c r="E168" s="6764"/>
      <c r="F168" s="6764" t="s">
        <v>138</v>
      </c>
      <c r="G168" s="6764"/>
      <c r="H168" s="6764"/>
      <c r="I168" s="6784"/>
      <c r="J168" s="6761" t="str">
        <f>I167&amp;".1"</f>
        <v>1.11.1.1.1.1</v>
      </c>
      <c r="K168" s="2335"/>
      <c r="L168" s="2336" t="s">
        <v>526</v>
      </c>
      <c r="M168" s="2205"/>
      <c r="N168" s="2205"/>
      <c r="O168" s="2352"/>
      <c r="P168" s="6762"/>
      <c r="Q168" s="6762">
        <v>1</v>
      </c>
      <c r="R168" s="2357"/>
      <c r="S168" s="2341" t="str">
        <f>$J168</f>
        <v>1.11.1.1.1.1</v>
      </c>
      <c r="T168" s="2358" t="s">
        <v>527</v>
      </c>
      <c r="U168" s="2343"/>
      <c r="V168" s="6752"/>
      <c r="W168" s="6753"/>
      <c r="X168" s="6753"/>
      <c r="Y168" s="6753"/>
      <c r="Z168" s="6753"/>
      <c r="AA168" s="6753"/>
      <c r="AB168" s="6753"/>
      <c r="AC168" s="6754"/>
      <c r="AD168" s="6752" t="s">
        <v>566</v>
      </c>
      <c r="AE168" s="6753"/>
      <c r="AF168" s="6753"/>
      <c r="AG168" s="6753"/>
      <c r="AH168" s="6753"/>
      <c r="AI168" s="6753"/>
      <c r="AJ168" s="6753"/>
      <c r="AK168" s="6753"/>
      <c r="AL168" s="6752"/>
      <c r="AM168" s="6753"/>
      <c r="AN168" s="6753"/>
      <c r="AO168" s="6753"/>
      <c r="AP168" s="6753"/>
      <c r="AQ168" s="6753"/>
      <c r="AR168" s="6753"/>
      <c r="AS168" s="6754"/>
      <c r="AT168" s="6752"/>
      <c r="AU168" s="6753"/>
      <c r="AV168" s="6753"/>
      <c r="AW168" s="6753"/>
      <c r="AX168" s="6753"/>
      <c r="AY168" s="6753"/>
      <c r="AZ168" s="6753"/>
      <c r="BA168" s="6754"/>
      <c r="BB168" s="6752"/>
      <c r="BC168" s="6753"/>
      <c r="BD168" s="6753"/>
      <c r="BE168" s="6753"/>
      <c r="BF168" s="6753"/>
      <c r="BG168" s="6753"/>
      <c r="BH168" s="6753"/>
      <c r="BI168" s="6754"/>
      <c r="BJ168" s="6752"/>
      <c r="BK168" s="6753"/>
      <c r="BL168" s="6753"/>
      <c r="BM168" s="6753"/>
      <c r="BN168" s="6753"/>
      <c r="BO168" s="6753"/>
      <c r="BP168" s="6753"/>
      <c r="BQ168" s="6754"/>
      <c r="BR168" s="6752"/>
      <c r="BS168" s="6753"/>
      <c r="BT168" s="6753"/>
      <c r="BU168" s="6753"/>
      <c r="BV168" s="6753"/>
      <c r="BW168" s="6753"/>
      <c r="BX168" s="6753"/>
      <c r="BY168" s="6754"/>
      <c r="BZ168" s="6754"/>
      <c r="CA168" s="2344" t="s">
        <v>528</v>
      </c>
      <c r="CB168" s="2211"/>
      <c r="CC168" s="2345"/>
      <c r="CD168" s="2345" t="str">
        <f t="shared" si="4"/>
        <v>Группа потребителей</v>
      </c>
      <c r="CE168" s="2345"/>
      <c r="CF168" s="2345"/>
    </row>
    <row r="169" spans="1:84" s="4122" customFormat="1" ht="21" customHeight="1">
      <c r="A169" s="2335"/>
      <c r="B169" s="2335"/>
      <c r="C169" s="2335"/>
      <c r="D169" s="2335"/>
      <c r="E169" s="6764"/>
      <c r="F169" s="6764" t="s">
        <v>138</v>
      </c>
      <c r="G169" s="6764"/>
      <c r="H169" s="6764"/>
      <c r="I169" s="6784"/>
      <c r="J169" s="6784"/>
      <c r="K169" s="6761" t="str">
        <f>J168&amp;".1"</f>
        <v>1.11.1.1.1.1.1</v>
      </c>
      <c r="L169" s="2336" t="s">
        <v>529</v>
      </c>
      <c r="M169" s="2205"/>
      <c r="N169" s="2205"/>
      <c r="O169" s="2205"/>
      <c r="P169" s="6762"/>
      <c r="Q169" s="6762"/>
      <c r="R169" s="2357">
        <v>1</v>
      </c>
      <c r="S169" s="2341" t="str">
        <f>$K169</f>
        <v>1.11.1.1.1.1.1</v>
      </c>
      <c r="T169" s="2360" t="s">
        <v>567</v>
      </c>
      <c r="U169" s="2343"/>
      <c r="V169" s="2763"/>
      <c r="W169" s="2763"/>
      <c r="X169" s="2763"/>
      <c r="Y169" s="2764"/>
      <c r="Z169" s="6768"/>
      <c r="AA169" s="6769" t="s">
        <v>61</v>
      </c>
      <c r="AB169" s="6768"/>
      <c r="AC169" s="6769" t="s">
        <v>61</v>
      </c>
      <c r="AD169" s="2078">
        <v>2877.98</v>
      </c>
      <c r="AE169" s="2079"/>
      <c r="AF169" s="2078"/>
      <c r="AG169" s="2080"/>
      <c r="AH169" s="6766">
        <v>45292.703946759262</v>
      </c>
      <c r="AI169" s="6610" t="s">
        <v>61</v>
      </c>
      <c r="AJ169" s="6766">
        <v>45838.704039351855</v>
      </c>
      <c r="AK169" s="6610" t="s">
        <v>61</v>
      </c>
      <c r="AL169" s="2078">
        <v>3170.69</v>
      </c>
      <c r="AM169" s="2079"/>
      <c r="AN169" s="2078"/>
      <c r="AO169" s="2080"/>
      <c r="AP169" s="6766">
        <v>45839.704270833332</v>
      </c>
      <c r="AQ169" s="6610" t="s">
        <v>61</v>
      </c>
      <c r="AR169" s="6766">
        <v>46203.704444444447</v>
      </c>
      <c r="AS169" s="6610" t="s">
        <v>61</v>
      </c>
      <c r="AT169" s="2078">
        <v>3278.24</v>
      </c>
      <c r="AU169" s="2079"/>
      <c r="AV169" s="2078"/>
      <c r="AW169" s="2080"/>
      <c r="AX169" s="6766">
        <v>46204.704826388886</v>
      </c>
      <c r="AY169" s="6610" t="s">
        <v>61</v>
      </c>
      <c r="AZ169" s="6766">
        <v>46568.705011574071</v>
      </c>
      <c r="BA169" s="6610" t="s">
        <v>61</v>
      </c>
      <c r="BB169" s="2078">
        <v>3385.84</v>
      </c>
      <c r="BC169" s="2079"/>
      <c r="BD169" s="2078"/>
      <c r="BE169" s="2080"/>
      <c r="BF169" s="6766">
        <v>46569.705428240741</v>
      </c>
      <c r="BG169" s="6610" t="s">
        <v>61</v>
      </c>
      <c r="BH169" s="6766">
        <v>46934.705567129633</v>
      </c>
      <c r="BI169" s="6610" t="s">
        <v>61</v>
      </c>
      <c r="BJ169" s="2078">
        <v>3497.13</v>
      </c>
      <c r="BK169" s="2079"/>
      <c r="BL169" s="2078"/>
      <c r="BM169" s="2080"/>
      <c r="BN169" s="6766">
        <v>46935.705821759257</v>
      </c>
      <c r="BO169" s="6610" t="s">
        <v>61</v>
      </c>
      <c r="BP169" s="6766">
        <v>47118.705983796295</v>
      </c>
      <c r="BQ169" s="6610" t="s">
        <v>56</v>
      </c>
      <c r="BR169" s="2763"/>
      <c r="BS169" s="2763"/>
      <c r="BT169" s="2763"/>
      <c r="BU169" s="2764"/>
      <c r="BV169" s="6768"/>
      <c r="BW169" s="6769" t="s">
        <v>61</v>
      </c>
      <c r="BX169" s="6768"/>
      <c r="BY169" s="6769" t="s">
        <v>61</v>
      </c>
      <c r="BZ169" s="2079"/>
      <c r="CA169" s="6758" t="s">
        <v>530</v>
      </c>
      <c r="CB169" s="2211" t="e">
        <f ca="1">STRCHECKDATE(V170:BZ170)</f>
        <v>#NAME?</v>
      </c>
      <c r="CC169" s="2345"/>
      <c r="CD169" s="2345" t="str">
        <f t="shared" si="4"/>
        <v>вода</v>
      </c>
      <c r="CE169" s="2345"/>
      <c r="CF169" s="2345"/>
    </row>
    <row r="170" spans="1:84" s="4123" customFormat="1" ht="0.75" customHeight="1">
      <c r="A170" s="2335"/>
      <c r="B170" s="2335"/>
      <c r="C170" s="2335"/>
      <c r="D170" s="2335"/>
      <c r="E170" s="6764"/>
      <c r="F170" s="6764" t="s">
        <v>138</v>
      </c>
      <c r="G170" s="6764"/>
      <c r="H170" s="6764"/>
      <c r="I170" s="6784"/>
      <c r="J170" s="6784"/>
      <c r="K170" s="6761"/>
      <c r="L170" s="2336"/>
      <c r="M170" s="2205"/>
      <c r="N170" s="2205"/>
      <c r="O170" s="2205"/>
      <c r="P170" s="6762"/>
      <c r="Q170" s="6762"/>
      <c r="R170" s="2357"/>
      <c r="S170" s="2362"/>
      <c r="T170" s="2343"/>
      <c r="U170" s="2343"/>
      <c r="V170" s="2763"/>
      <c r="W170" s="2763"/>
      <c r="X170" s="2763"/>
      <c r="Y170" s="2082" t="str">
        <f>Z169&amp;"-"&amp;AB169</f>
        <v>-</v>
      </c>
      <c r="Z170" s="6769"/>
      <c r="AA170" s="6769"/>
      <c r="AB170" s="6769"/>
      <c r="AC170" s="6769"/>
      <c r="AD170" s="2079"/>
      <c r="AE170" s="2079"/>
      <c r="AF170" s="2079"/>
      <c r="AG170" s="2082" t="str">
        <f>AH169&amp;"-"&amp;AJ169</f>
        <v>45292,7039467593-45838,7040393519</v>
      </c>
      <c r="AH170" s="6767"/>
      <c r="AI170" s="6610"/>
      <c r="AJ170" s="6767"/>
      <c r="AK170" s="6610"/>
      <c r="AL170" s="2079"/>
      <c r="AM170" s="2079"/>
      <c r="AN170" s="2079"/>
      <c r="AO170" s="2082" t="str">
        <f>AP169&amp;"-"&amp;AR169</f>
        <v>45839,7042708333-46203,7044444444</v>
      </c>
      <c r="AP170" s="6767"/>
      <c r="AQ170" s="6610"/>
      <c r="AR170" s="6767"/>
      <c r="AS170" s="6610"/>
      <c r="AT170" s="2079"/>
      <c r="AU170" s="2079"/>
      <c r="AV170" s="2079"/>
      <c r="AW170" s="2082" t="str">
        <f>AX169&amp;"-"&amp;AZ169</f>
        <v>46204,7048263889-46568,7050115741</v>
      </c>
      <c r="AX170" s="6767"/>
      <c r="AY170" s="6610"/>
      <c r="AZ170" s="6767"/>
      <c r="BA170" s="6610"/>
      <c r="BB170" s="2079"/>
      <c r="BC170" s="2079"/>
      <c r="BD170" s="2079"/>
      <c r="BE170" s="2082" t="str">
        <f>BF169&amp;"-"&amp;BH169</f>
        <v>46569,7054282407-46934,7055671296</v>
      </c>
      <c r="BF170" s="6767"/>
      <c r="BG170" s="6610"/>
      <c r="BH170" s="6767"/>
      <c r="BI170" s="6610"/>
      <c r="BJ170" s="2079"/>
      <c r="BK170" s="2079"/>
      <c r="BL170" s="2079"/>
      <c r="BM170" s="2082" t="str">
        <f>BN169&amp;"-"&amp;BP169</f>
        <v>46935,7058217593-47118,7059837963</v>
      </c>
      <c r="BN170" s="6767"/>
      <c r="BO170" s="6610"/>
      <c r="BP170" s="6767"/>
      <c r="BQ170" s="6610"/>
      <c r="BR170" s="2763"/>
      <c r="BS170" s="2763"/>
      <c r="BT170" s="2763"/>
      <c r="BU170" s="2082" t="str">
        <f>BV169&amp;"-"&amp;BX169</f>
        <v>-</v>
      </c>
      <c r="BV170" s="6769"/>
      <c r="BW170" s="6769"/>
      <c r="BX170" s="6769"/>
      <c r="BY170" s="6769"/>
      <c r="BZ170" s="2079"/>
      <c r="CA170" s="6759"/>
      <c r="CB170" s="2211"/>
      <c r="CC170" s="2345"/>
      <c r="CD170" s="2345" t="str">
        <f t="shared" si="4"/>
        <v/>
      </c>
      <c r="CE170" s="2345"/>
      <c r="CF170" s="2345"/>
    </row>
    <row r="171" spans="1:84" s="4124" customFormat="1" ht="15" customHeight="1">
      <c r="A171" s="2335"/>
      <c r="B171" s="2335"/>
      <c r="C171" s="2335"/>
      <c r="D171" s="2335"/>
      <c r="E171" s="6764"/>
      <c r="F171" s="6764" t="s">
        <v>138</v>
      </c>
      <c r="G171" s="6764"/>
      <c r="H171" s="6764"/>
      <c r="I171" s="6784"/>
      <c r="J171" s="6761"/>
      <c r="K171" s="2335"/>
      <c r="L171" s="2336"/>
      <c r="M171" s="2205"/>
      <c r="N171" s="2205"/>
      <c r="O171" s="2352"/>
      <c r="P171" s="6762"/>
      <c r="Q171" s="6762"/>
      <c r="R171" s="2354"/>
      <c r="S171" s="4125"/>
      <c r="T171" s="4126" t="s">
        <v>531</v>
      </c>
      <c r="U171" s="4127"/>
      <c r="V171" s="4128"/>
      <c r="W171" s="4129"/>
      <c r="X171" s="4130"/>
      <c r="Y171" s="4131"/>
      <c r="Z171" s="4132"/>
      <c r="AA171" s="4133"/>
      <c r="AB171" s="4134"/>
      <c r="AC171" s="4135"/>
      <c r="AD171" s="4136"/>
      <c r="AE171" s="4137"/>
      <c r="AF171" s="4138"/>
      <c r="AG171" s="4139"/>
      <c r="AH171" s="4140"/>
      <c r="AI171" s="4141"/>
      <c r="AJ171" s="4142"/>
      <c r="AK171" s="4143"/>
      <c r="AL171" s="4144"/>
      <c r="AM171" s="4145"/>
      <c r="AN171" s="4146"/>
      <c r="AO171" s="4147"/>
      <c r="AP171" s="4148"/>
      <c r="AQ171" s="4149"/>
      <c r="AR171" s="4150"/>
      <c r="AS171" s="4151"/>
      <c r="AT171" s="4152"/>
      <c r="AU171" s="4153"/>
      <c r="AV171" s="4154"/>
      <c r="AW171" s="4155"/>
      <c r="AX171" s="4156"/>
      <c r="AY171" s="4157"/>
      <c r="AZ171" s="4158"/>
      <c r="BA171" s="4159"/>
      <c r="BB171" s="4160"/>
      <c r="BC171" s="4161"/>
      <c r="BD171" s="4162"/>
      <c r="BE171" s="4163"/>
      <c r="BF171" s="4164"/>
      <c r="BG171" s="4165"/>
      <c r="BH171" s="4166"/>
      <c r="BI171" s="4167"/>
      <c r="BJ171" s="4168"/>
      <c r="BK171" s="4169"/>
      <c r="BL171" s="4170"/>
      <c r="BM171" s="4171"/>
      <c r="BN171" s="4172"/>
      <c r="BO171" s="4173"/>
      <c r="BP171" s="4174"/>
      <c r="BQ171" s="4175"/>
      <c r="BR171" s="4176"/>
      <c r="BS171" s="4177"/>
      <c r="BT171" s="4178"/>
      <c r="BU171" s="4179"/>
      <c r="BV171" s="4180"/>
      <c r="BW171" s="4181"/>
      <c r="BX171" s="4182"/>
      <c r="BY171" s="4183"/>
      <c r="BZ171" s="4184"/>
      <c r="CA171" s="6760"/>
      <c r="CB171" s="2211"/>
      <c r="CC171" s="2345"/>
      <c r="CD171" s="2345" t="str">
        <f t="shared" ref="CD171:CD202" si="5">IF(T171="","",T171)</f>
        <v>Добавить вид теплоносителя (параметры теплоносителя)</v>
      </c>
      <c r="CE171" s="2345"/>
      <c r="CF171" s="2345"/>
    </row>
    <row r="172" spans="1:84" s="4185" customFormat="1" ht="15" customHeight="1">
      <c r="A172" s="2335"/>
      <c r="B172" s="2335"/>
      <c r="C172" s="2335"/>
      <c r="D172" s="2335"/>
      <c r="E172" s="6764"/>
      <c r="F172" s="6764" t="s">
        <v>138</v>
      </c>
      <c r="G172" s="6764"/>
      <c r="H172" s="6764"/>
      <c r="I172" s="6761"/>
      <c r="J172" s="2335"/>
      <c r="K172" s="2335"/>
      <c r="L172" s="2336"/>
      <c r="M172" s="2205"/>
      <c r="N172" s="2352"/>
      <c r="O172" s="2352"/>
      <c r="P172" s="6762"/>
      <c r="Q172" s="2353"/>
      <c r="R172" s="2354"/>
      <c r="S172" s="4186"/>
      <c r="T172" s="4187" t="s">
        <v>532</v>
      </c>
      <c r="U172" s="4188"/>
      <c r="V172" s="4189"/>
      <c r="W172" s="4190"/>
      <c r="X172" s="4191"/>
      <c r="Y172" s="4192"/>
      <c r="Z172" s="4193"/>
      <c r="AA172" s="4194"/>
      <c r="AB172" s="4195"/>
      <c r="AC172" s="4196"/>
      <c r="AD172" s="4197"/>
      <c r="AE172" s="4198"/>
      <c r="AF172" s="4199"/>
      <c r="AG172" s="4200"/>
      <c r="AH172" s="4201"/>
      <c r="AI172" s="4202"/>
      <c r="AJ172" s="4203"/>
      <c r="AK172" s="4204"/>
      <c r="AL172" s="4205"/>
      <c r="AM172" s="4206"/>
      <c r="AN172" s="4207"/>
      <c r="AO172" s="4208"/>
      <c r="AP172" s="4209"/>
      <c r="AQ172" s="4210"/>
      <c r="AR172" s="4211"/>
      <c r="AS172" s="4212"/>
      <c r="AT172" s="4213"/>
      <c r="AU172" s="4214"/>
      <c r="AV172" s="4215"/>
      <c r="AW172" s="4216"/>
      <c r="AX172" s="4217"/>
      <c r="AY172" s="4218"/>
      <c r="AZ172" s="4219"/>
      <c r="BA172" s="4220"/>
      <c r="BB172" s="4221"/>
      <c r="BC172" s="4222"/>
      <c r="BD172" s="4223"/>
      <c r="BE172" s="4224"/>
      <c r="BF172" s="4225"/>
      <c r="BG172" s="4226"/>
      <c r="BH172" s="4227"/>
      <c r="BI172" s="4228"/>
      <c r="BJ172" s="4229"/>
      <c r="BK172" s="4230"/>
      <c r="BL172" s="4231"/>
      <c r="BM172" s="4232"/>
      <c r="BN172" s="4233"/>
      <c r="BO172" s="4234"/>
      <c r="BP172" s="4235"/>
      <c r="BQ172" s="4236"/>
      <c r="BR172" s="4237"/>
      <c r="BS172" s="4238"/>
      <c r="BT172" s="4239"/>
      <c r="BU172" s="4240"/>
      <c r="BV172" s="4241"/>
      <c r="BW172" s="4242"/>
      <c r="BX172" s="4243"/>
      <c r="BY172" s="4244"/>
      <c r="BZ172" s="4245"/>
      <c r="CA172" s="4246"/>
      <c r="CB172" s="2211"/>
      <c r="CC172" s="2345"/>
      <c r="CD172" s="2345" t="str">
        <f t="shared" si="5"/>
        <v>Добавить группу потребителей</v>
      </c>
      <c r="CE172" s="2345"/>
      <c r="CF172" s="2345"/>
    </row>
    <row r="173" spans="1:84" s="4247" customFormat="1" ht="14.25" customHeight="1">
      <c r="A173" s="2335"/>
      <c r="B173" s="2335"/>
      <c r="C173" s="2335"/>
      <c r="D173" s="2335"/>
      <c r="E173" s="6764"/>
      <c r="F173" s="6764" t="s">
        <v>138</v>
      </c>
      <c r="G173" s="6764"/>
      <c r="H173" s="6763"/>
      <c r="I173" s="2335"/>
      <c r="J173" s="2335"/>
      <c r="K173" s="2335"/>
      <c r="L173" s="2336"/>
      <c r="M173" s="2337"/>
      <c r="N173" s="2337"/>
      <c r="O173" s="2205"/>
      <c r="P173" s="2487"/>
      <c r="Q173" s="2488"/>
      <c r="R173" s="2489"/>
      <c r="S173" s="4248"/>
      <c r="T173" s="4249" t="s">
        <v>533</v>
      </c>
      <c r="U173" s="4250"/>
      <c r="V173" s="4251"/>
      <c r="W173" s="4252"/>
      <c r="X173" s="4253"/>
      <c r="Y173" s="4254"/>
      <c r="Z173" s="4255"/>
      <c r="AA173" s="4256"/>
      <c r="AB173" s="4257"/>
      <c r="AC173" s="4258"/>
      <c r="AD173" s="4259"/>
      <c r="AE173" s="4260"/>
      <c r="AF173" s="4261"/>
      <c r="AG173" s="4262"/>
      <c r="AH173" s="4263"/>
      <c r="AI173" s="4264"/>
      <c r="AJ173" s="4265"/>
      <c r="AK173" s="4266"/>
      <c r="AL173" s="4267"/>
      <c r="AM173" s="4268"/>
      <c r="AN173" s="4269"/>
      <c r="AO173" s="4270"/>
      <c r="AP173" s="4271"/>
      <c r="AQ173" s="4272"/>
      <c r="AR173" s="4273"/>
      <c r="AS173" s="4274"/>
      <c r="AT173" s="4275"/>
      <c r="AU173" s="4276"/>
      <c r="AV173" s="4277"/>
      <c r="AW173" s="4278"/>
      <c r="AX173" s="4279"/>
      <c r="AY173" s="4280"/>
      <c r="AZ173" s="4281"/>
      <c r="BA173" s="4282"/>
      <c r="BB173" s="4283"/>
      <c r="BC173" s="4284"/>
      <c r="BD173" s="4285"/>
      <c r="BE173" s="4286"/>
      <c r="BF173" s="4287"/>
      <c r="BG173" s="4288"/>
      <c r="BH173" s="4289"/>
      <c r="BI173" s="4290"/>
      <c r="BJ173" s="4291"/>
      <c r="BK173" s="4292"/>
      <c r="BL173" s="4293"/>
      <c r="BM173" s="4294"/>
      <c r="BN173" s="4295"/>
      <c r="BO173" s="4296"/>
      <c r="BP173" s="4297"/>
      <c r="BQ173" s="4298"/>
      <c r="BR173" s="4299"/>
      <c r="BS173" s="4300"/>
      <c r="BT173" s="4301"/>
      <c r="BU173" s="4302"/>
      <c r="BV173" s="4303"/>
      <c r="BW173" s="4304"/>
      <c r="BX173" s="4305"/>
      <c r="BY173" s="4306"/>
      <c r="BZ173" s="4307"/>
      <c r="CA173" s="4308"/>
      <c r="CB173" s="2211"/>
      <c r="CC173" s="2345"/>
      <c r="CD173" s="2345" t="str">
        <f t="shared" si="5"/>
        <v>Добавить схему подключения</v>
      </c>
      <c r="CE173" s="2345"/>
      <c r="CF173" s="2345"/>
    </row>
    <row r="174" spans="1:84" s="4309" customFormat="1" ht="0.75" customHeight="1">
      <c r="A174" s="2552"/>
      <c r="B174" s="2552"/>
      <c r="C174" s="2552"/>
      <c r="D174" s="2552"/>
      <c r="E174" s="6764"/>
      <c r="F174" s="6764" t="s">
        <v>138</v>
      </c>
      <c r="G174" s="6763"/>
      <c r="H174" s="2552"/>
      <c r="I174" s="2552"/>
      <c r="J174" s="2552"/>
      <c r="K174" s="2552"/>
      <c r="L174" s="2553"/>
      <c r="M174" s="2554"/>
      <c r="N174" s="2554"/>
      <c r="O174" s="2211"/>
      <c r="P174" s="2555"/>
      <c r="Q174" s="2556"/>
      <c r="R174" s="2555"/>
      <c r="S174" s="2557"/>
      <c r="T174" s="2558" t="s">
        <v>228</v>
      </c>
      <c r="U174" s="2203"/>
      <c r="V174" s="2203"/>
      <c r="W174" s="2203"/>
      <c r="X174" s="2203"/>
      <c r="Y174" s="2203"/>
      <c r="Z174" s="2203"/>
      <c r="AA174" s="2203"/>
      <c r="AB174" s="2203"/>
      <c r="AC174" s="2203"/>
      <c r="AD174" s="2203"/>
      <c r="AE174" s="2203"/>
      <c r="AF174" s="2203"/>
      <c r="AG174" s="2203"/>
      <c r="AH174" s="2203"/>
      <c r="AI174" s="2203"/>
      <c r="AJ174" s="2203"/>
      <c r="AK174" s="2203"/>
      <c r="AL174" s="2203"/>
      <c r="AM174" s="2203"/>
      <c r="AN174" s="2203"/>
      <c r="AO174" s="2203"/>
      <c r="AP174" s="2203"/>
      <c r="AQ174" s="2203"/>
      <c r="AR174" s="2203"/>
      <c r="AS174" s="2203"/>
      <c r="AT174" s="2203"/>
      <c r="AU174" s="2203"/>
      <c r="AV174" s="2203"/>
      <c r="AW174" s="2203"/>
      <c r="AX174" s="2203"/>
      <c r="AY174" s="2203"/>
      <c r="AZ174" s="2203"/>
      <c r="BA174" s="2203"/>
      <c r="BB174" s="2203"/>
      <c r="BC174" s="2203"/>
      <c r="BD174" s="2203"/>
      <c r="BE174" s="2203"/>
      <c r="BF174" s="2203"/>
      <c r="BG174" s="2203"/>
      <c r="BH174" s="2203"/>
      <c r="BI174" s="2203"/>
      <c r="BJ174" s="2203"/>
      <c r="BK174" s="2203"/>
      <c r="BL174" s="2203"/>
      <c r="BM174" s="2203"/>
      <c r="BN174" s="2203"/>
      <c r="BO174" s="2203"/>
      <c r="BP174" s="2203"/>
      <c r="BQ174" s="2203"/>
      <c r="BR174" s="2203"/>
      <c r="BS174" s="2203"/>
      <c r="BT174" s="2203"/>
      <c r="BU174" s="2203"/>
      <c r="BV174" s="2203"/>
      <c r="BW174" s="2203"/>
      <c r="BX174" s="2203"/>
      <c r="BY174" s="2203"/>
      <c r="BZ174" s="2203"/>
      <c r="CA174" s="2203"/>
      <c r="CB174" s="2211"/>
      <c r="CC174" s="2345"/>
      <c r="CD174" s="2345" t="str">
        <f t="shared" si="5"/>
        <v>Добавить источник для дифференциации</v>
      </c>
      <c r="CE174" s="2345"/>
      <c r="CF174" s="2345"/>
    </row>
    <row r="175" spans="1:84" s="4310" customFormat="1" ht="0.75" customHeight="1">
      <c r="A175" s="2552"/>
      <c r="B175" s="2552"/>
      <c r="C175" s="2552"/>
      <c r="D175" s="2552"/>
      <c r="E175" s="6764"/>
      <c r="F175" s="6763" t="s">
        <v>138</v>
      </c>
      <c r="G175" s="2552"/>
      <c r="H175" s="2552"/>
      <c r="I175" s="2552"/>
      <c r="J175" s="2552"/>
      <c r="K175" s="2552"/>
      <c r="L175" s="2553"/>
      <c r="M175" s="2560"/>
      <c r="N175" s="2560"/>
      <c r="O175" s="2211"/>
      <c r="P175" s="2555"/>
      <c r="Q175" s="2556"/>
      <c r="R175" s="2555"/>
      <c r="S175" s="2561"/>
      <c r="T175" s="2562" t="s">
        <v>229</v>
      </c>
      <c r="U175" s="2204"/>
      <c r="V175" s="2204"/>
      <c r="W175" s="2204"/>
      <c r="X175" s="2204"/>
      <c r="Y175" s="2204"/>
      <c r="Z175" s="2204"/>
      <c r="AA175" s="2204"/>
      <c r="AB175" s="2204"/>
      <c r="AC175" s="2204"/>
      <c r="AD175" s="2204"/>
      <c r="AE175" s="2204"/>
      <c r="AF175" s="2204"/>
      <c r="AG175" s="2204"/>
      <c r="AH175" s="2204"/>
      <c r="AI175" s="2204"/>
      <c r="AJ175" s="2204"/>
      <c r="AK175" s="2204"/>
      <c r="AL175" s="2204"/>
      <c r="AM175" s="2204"/>
      <c r="AN175" s="2204"/>
      <c r="AO175" s="2204"/>
      <c r="AP175" s="2204"/>
      <c r="AQ175" s="2204"/>
      <c r="AR175" s="2204"/>
      <c r="AS175" s="2204"/>
      <c r="AT175" s="2204"/>
      <c r="AU175" s="2204"/>
      <c r="AV175" s="2204"/>
      <c r="AW175" s="2204"/>
      <c r="AX175" s="2204"/>
      <c r="AY175" s="2204"/>
      <c r="AZ175" s="2204"/>
      <c r="BA175" s="2204"/>
      <c r="BB175" s="2204"/>
      <c r="BC175" s="2204"/>
      <c r="BD175" s="2204"/>
      <c r="BE175" s="2204"/>
      <c r="BF175" s="2204"/>
      <c r="BG175" s="2204"/>
      <c r="BH175" s="2204"/>
      <c r="BI175" s="2204"/>
      <c r="BJ175" s="2204"/>
      <c r="BK175" s="2204"/>
      <c r="BL175" s="2204"/>
      <c r="BM175" s="2204"/>
      <c r="BN175" s="2204"/>
      <c r="BO175" s="2204"/>
      <c r="BP175" s="2204"/>
      <c r="BQ175" s="2204"/>
      <c r="BR175" s="2204"/>
      <c r="BS175" s="2204"/>
      <c r="BT175" s="2204"/>
      <c r="BU175" s="2204"/>
      <c r="BV175" s="2204"/>
      <c r="BW175" s="2204"/>
      <c r="BX175" s="2204"/>
      <c r="BY175" s="2204"/>
      <c r="BZ175" s="2204"/>
      <c r="CA175" s="2204"/>
      <c r="CB175" s="2211"/>
      <c r="CC175" s="2345"/>
      <c r="CD175" s="2345" t="str">
        <f t="shared" si="5"/>
        <v>Добавить централизованную систему для дифференциации</v>
      </c>
      <c r="CE175" s="2345"/>
      <c r="CF175" s="2345"/>
    </row>
    <row r="176" spans="1:84" s="4311" customFormat="1" ht="21" customHeight="1">
      <c r="A176" s="2335"/>
      <c r="B176" s="2335" t="s">
        <v>260</v>
      </c>
      <c r="C176" s="2335"/>
      <c r="D176" s="2335"/>
      <c r="E176" s="6764"/>
      <c r="F176" s="6763" t="s">
        <v>147</v>
      </c>
      <c r="G176" s="2335"/>
      <c r="H176" s="2335"/>
      <c r="I176" s="2335"/>
      <c r="J176" s="2335"/>
      <c r="K176" s="2335"/>
      <c r="L176" s="2336"/>
      <c r="M176" s="2337"/>
      <c r="N176" s="2337"/>
      <c r="O176" s="2337"/>
      <c r="P176" s="2338"/>
      <c r="Q176" s="2339"/>
      <c r="R176" s="2340"/>
      <c r="S176" s="2341" t="str">
        <f>INDEX(PT_DIFFERENTIATION_NUM_TER,MATCH(B176,PT_DIFFERENTIATION_TER_ID,0))</f>
        <v>1.12</v>
      </c>
      <c r="T176" s="2342" t="s">
        <v>517</v>
      </c>
      <c r="U176" s="2343"/>
      <c r="V176" s="6749"/>
      <c r="W176" s="6750"/>
      <c r="X176" s="6750"/>
      <c r="Y176" s="6750"/>
      <c r="Z176" s="6750"/>
      <c r="AA176" s="6750"/>
      <c r="AB176" s="6750"/>
      <c r="AC176" s="6751"/>
      <c r="AD176" s="6749" t="str">
        <f>INDEX(PT_DIFFERENTIATION_TER,MATCH(B176,PT_DIFFERENTIATION_TER_ID,0))</f>
        <v>Территория 11</v>
      </c>
      <c r="AE176" s="6750"/>
      <c r="AF176" s="6750"/>
      <c r="AG176" s="6750"/>
      <c r="AH176" s="6750"/>
      <c r="AI176" s="6750"/>
      <c r="AJ176" s="6750"/>
      <c r="AK176" s="6750"/>
      <c r="AL176" s="6749"/>
      <c r="AM176" s="6750"/>
      <c r="AN176" s="6750"/>
      <c r="AO176" s="6750"/>
      <c r="AP176" s="6750"/>
      <c r="AQ176" s="6750"/>
      <c r="AR176" s="6750"/>
      <c r="AS176" s="6751"/>
      <c r="AT176" s="6749"/>
      <c r="AU176" s="6750"/>
      <c r="AV176" s="6750"/>
      <c r="AW176" s="6750"/>
      <c r="AX176" s="6750"/>
      <c r="AY176" s="6750"/>
      <c r="AZ176" s="6750"/>
      <c r="BA176" s="6751"/>
      <c r="BB176" s="6749"/>
      <c r="BC176" s="6750"/>
      <c r="BD176" s="6750"/>
      <c r="BE176" s="6750"/>
      <c r="BF176" s="6750"/>
      <c r="BG176" s="6750"/>
      <c r="BH176" s="6750"/>
      <c r="BI176" s="6751"/>
      <c r="BJ176" s="6749"/>
      <c r="BK176" s="6750"/>
      <c r="BL176" s="6750"/>
      <c r="BM176" s="6750"/>
      <c r="BN176" s="6750"/>
      <c r="BO176" s="6750"/>
      <c r="BP176" s="6750"/>
      <c r="BQ176" s="6751"/>
      <c r="BR176" s="6749"/>
      <c r="BS176" s="6750"/>
      <c r="BT176" s="6750"/>
      <c r="BU176" s="6750"/>
      <c r="BV176" s="6750"/>
      <c r="BW176" s="6750"/>
      <c r="BX176" s="6750"/>
      <c r="BY176" s="6751"/>
      <c r="BZ176" s="6751"/>
      <c r="CA176" s="2344" t="s">
        <v>518</v>
      </c>
      <c r="CB176" s="2211"/>
      <c r="CC176" s="2345"/>
      <c r="CD176" s="2345" t="str">
        <f t="shared" si="5"/>
        <v>Территория действия тарифа</v>
      </c>
      <c r="CE176" s="2345"/>
      <c r="CF176" s="2345"/>
    </row>
    <row r="177" spans="1:84" s="4312" customFormat="1" ht="23.25" customHeight="1">
      <c r="A177" s="2335"/>
      <c r="B177" s="2335"/>
      <c r="C177" s="2335" t="s">
        <v>261</v>
      </c>
      <c r="D177" s="2335"/>
      <c r="E177" s="6764"/>
      <c r="F177" s="6764" t="s">
        <v>104</v>
      </c>
      <c r="G177" s="6763">
        <v>1</v>
      </c>
      <c r="H177" s="2335"/>
      <c r="I177" s="2335"/>
      <c r="J177" s="2335"/>
      <c r="K177" s="2335"/>
      <c r="L177" s="2336"/>
      <c r="M177" s="2337"/>
      <c r="N177" s="2337"/>
      <c r="O177" s="2337"/>
      <c r="P177" s="2347"/>
      <c r="Q177" s="2339"/>
      <c r="R177" s="2340"/>
      <c r="S177" s="2341" t="str">
        <f>INDEX(PT_DIFFERENTIATION_NUM_CS,MATCH(C177,PT_DIFFERENTIATION_CS_ID,0))</f>
        <v>1.12.1</v>
      </c>
      <c r="T177" s="2348" t="s">
        <v>519</v>
      </c>
      <c r="U177" s="2343"/>
      <c r="V177" s="6749"/>
      <c r="W177" s="6750"/>
      <c r="X177" s="6750"/>
      <c r="Y177" s="6750"/>
      <c r="Z177" s="6750"/>
      <c r="AA177" s="6750"/>
      <c r="AB177" s="6750"/>
      <c r="AC177" s="6751"/>
      <c r="AD177" s="6749" t="str">
        <f>INDEX(PT_DIFFERENTIATION_CS,MATCH(C177,PT_DIFFERENTIATION_CS_ID,0))</f>
        <v>без дифференциации</v>
      </c>
      <c r="AE177" s="6750"/>
      <c r="AF177" s="6750"/>
      <c r="AG177" s="6750"/>
      <c r="AH177" s="6750"/>
      <c r="AI177" s="6750"/>
      <c r="AJ177" s="6750"/>
      <c r="AK177" s="6750"/>
      <c r="AL177" s="6749"/>
      <c r="AM177" s="6750"/>
      <c r="AN177" s="6750"/>
      <c r="AO177" s="6750"/>
      <c r="AP177" s="6750"/>
      <c r="AQ177" s="6750"/>
      <c r="AR177" s="6750"/>
      <c r="AS177" s="6751"/>
      <c r="AT177" s="6749"/>
      <c r="AU177" s="6750"/>
      <c r="AV177" s="6750"/>
      <c r="AW177" s="6750"/>
      <c r="AX177" s="6750"/>
      <c r="AY177" s="6750"/>
      <c r="AZ177" s="6750"/>
      <c r="BA177" s="6751"/>
      <c r="BB177" s="6749"/>
      <c r="BC177" s="6750"/>
      <c r="BD177" s="6750"/>
      <c r="BE177" s="6750"/>
      <c r="BF177" s="6750"/>
      <c r="BG177" s="6750"/>
      <c r="BH177" s="6750"/>
      <c r="BI177" s="6751"/>
      <c r="BJ177" s="6749"/>
      <c r="BK177" s="6750"/>
      <c r="BL177" s="6750"/>
      <c r="BM177" s="6750"/>
      <c r="BN177" s="6750"/>
      <c r="BO177" s="6750"/>
      <c r="BP177" s="6750"/>
      <c r="BQ177" s="6751"/>
      <c r="BR177" s="6749"/>
      <c r="BS177" s="6750"/>
      <c r="BT177" s="6750"/>
      <c r="BU177" s="6750"/>
      <c r="BV177" s="6750"/>
      <c r="BW177" s="6750"/>
      <c r="BX177" s="6750"/>
      <c r="BY177" s="6751"/>
      <c r="BZ177" s="6751"/>
      <c r="CA177" s="2344" t="s">
        <v>520</v>
      </c>
      <c r="CB177" s="2211"/>
      <c r="CC177" s="2345"/>
      <c r="CD177" s="2345" t="str">
        <f t="shared" si="5"/>
        <v xml:space="preserve">Наименование системы теплоснабжения </v>
      </c>
      <c r="CE177" s="2345"/>
      <c r="CF177" s="2345"/>
    </row>
    <row r="178" spans="1:84" s="4313" customFormat="1" ht="21" customHeight="1">
      <c r="A178" s="2335"/>
      <c r="B178" s="2335"/>
      <c r="C178" s="2335"/>
      <c r="D178" s="2335" t="s">
        <v>262</v>
      </c>
      <c r="E178" s="6764"/>
      <c r="F178" s="6764" t="s">
        <v>104</v>
      </c>
      <c r="G178" s="6764"/>
      <c r="H178" s="6763">
        <v>1</v>
      </c>
      <c r="I178" s="2335"/>
      <c r="J178" s="2335"/>
      <c r="K178" s="2335"/>
      <c r="L178" s="2336"/>
      <c r="M178" s="2337"/>
      <c r="N178" s="2337"/>
      <c r="O178" s="2337"/>
      <c r="P178" s="2347"/>
      <c r="Q178" s="2339"/>
      <c r="R178" s="2340"/>
      <c r="S178" s="2341" t="str">
        <f>INDEX(PT_DIFFERENTIATION_NUM_IST_TE,MATCH(D178,PT_DIFFERENTIATION_IST_TE_ID,0))</f>
        <v>1.12.1.1</v>
      </c>
      <c r="T178" s="2350" t="s">
        <v>521</v>
      </c>
      <c r="U178" s="2343"/>
      <c r="V178" s="6749"/>
      <c r="W178" s="6750"/>
      <c r="X178" s="6750"/>
      <c r="Y178" s="6750"/>
      <c r="Z178" s="6750"/>
      <c r="AA178" s="6750"/>
      <c r="AB178" s="6750"/>
      <c r="AC178" s="6751"/>
      <c r="AD178" s="6749" t="str">
        <f>INDEX(PT_DIFFERENTIATION_IST_TE,MATCH(D178,PT_DIFFERENTIATION_IST_TE_ID,0))</f>
        <v>без дифференциации</v>
      </c>
      <c r="AE178" s="6750"/>
      <c r="AF178" s="6750"/>
      <c r="AG178" s="6750"/>
      <c r="AH178" s="6750"/>
      <c r="AI178" s="6750"/>
      <c r="AJ178" s="6750"/>
      <c r="AK178" s="6750"/>
      <c r="AL178" s="6749"/>
      <c r="AM178" s="6750"/>
      <c r="AN178" s="6750"/>
      <c r="AO178" s="6750"/>
      <c r="AP178" s="6750"/>
      <c r="AQ178" s="6750"/>
      <c r="AR178" s="6750"/>
      <c r="AS178" s="6751"/>
      <c r="AT178" s="6749"/>
      <c r="AU178" s="6750"/>
      <c r="AV178" s="6750"/>
      <c r="AW178" s="6750"/>
      <c r="AX178" s="6750"/>
      <c r="AY178" s="6750"/>
      <c r="AZ178" s="6750"/>
      <c r="BA178" s="6751"/>
      <c r="BB178" s="6749"/>
      <c r="BC178" s="6750"/>
      <c r="BD178" s="6750"/>
      <c r="BE178" s="6750"/>
      <c r="BF178" s="6750"/>
      <c r="BG178" s="6750"/>
      <c r="BH178" s="6750"/>
      <c r="BI178" s="6751"/>
      <c r="BJ178" s="6749"/>
      <c r="BK178" s="6750"/>
      <c r="BL178" s="6750"/>
      <c r="BM178" s="6750"/>
      <c r="BN178" s="6750"/>
      <c r="BO178" s="6750"/>
      <c r="BP178" s="6750"/>
      <c r="BQ178" s="6751"/>
      <c r="BR178" s="6749"/>
      <c r="BS178" s="6750"/>
      <c r="BT178" s="6750"/>
      <c r="BU178" s="6750"/>
      <c r="BV178" s="6750"/>
      <c r="BW178" s="6750"/>
      <c r="BX178" s="6750"/>
      <c r="BY178" s="6751"/>
      <c r="BZ178" s="6751"/>
      <c r="CA178" s="2344" t="s">
        <v>522</v>
      </c>
      <c r="CB178" s="2211"/>
      <c r="CC178" s="2345"/>
      <c r="CD178" s="2345" t="str">
        <f t="shared" si="5"/>
        <v xml:space="preserve">Источник тепловой энергии  </v>
      </c>
      <c r="CE178" s="2345"/>
      <c r="CF178" s="2345"/>
    </row>
    <row r="179" spans="1:84" s="4314" customFormat="1" ht="47.25" customHeight="1">
      <c r="A179" s="2335"/>
      <c r="B179" s="2335"/>
      <c r="C179" s="2335"/>
      <c r="D179" s="2335"/>
      <c r="E179" s="6764"/>
      <c r="F179" s="6764" t="s">
        <v>104</v>
      </c>
      <c r="G179" s="6764"/>
      <c r="H179" s="6764"/>
      <c r="I179" s="6761" t="str">
        <f>S178&amp;".1"</f>
        <v>1.12.1.1.1</v>
      </c>
      <c r="J179" s="2335"/>
      <c r="K179" s="2335"/>
      <c r="L179" s="2336" t="s">
        <v>523</v>
      </c>
      <c r="M179" s="2205"/>
      <c r="N179" s="2352"/>
      <c r="O179" s="2352"/>
      <c r="P179" s="6762">
        <v>1</v>
      </c>
      <c r="Q179" s="2353"/>
      <c r="R179" s="2354"/>
      <c r="S179" s="2341" t="str">
        <f>$I179</f>
        <v>1.12.1.1.1</v>
      </c>
      <c r="T179" s="2355" t="s">
        <v>524</v>
      </c>
      <c r="U179" s="2343"/>
      <c r="V179" s="6752"/>
      <c r="W179" s="6753"/>
      <c r="X179" s="6753"/>
      <c r="Y179" s="6753"/>
      <c r="Z179" s="6753"/>
      <c r="AA179" s="6753"/>
      <c r="AB179" s="6753"/>
      <c r="AC179" s="6754"/>
      <c r="AD179" s="6752" t="s">
        <v>566</v>
      </c>
      <c r="AE179" s="6753"/>
      <c r="AF179" s="6753"/>
      <c r="AG179" s="6753"/>
      <c r="AH179" s="6753"/>
      <c r="AI179" s="6753"/>
      <c r="AJ179" s="6753"/>
      <c r="AK179" s="6753"/>
      <c r="AL179" s="6752"/>
      <c r="AM179" s="6753"/>
      <c r="AN179" s="6753"/>
      <c r="AO179" s="6753"/>
      <c r="AP179" s="6753"/>
      <c r="AQ179" s="6753"/>
      <c r="AR179" s="6753"/>
      <c r="AS179" s="6754"/>
      <c r="AT179" s="6752"/>
      <c r="AU179" s="6753"/>
      <c r="AV179" s="6753"/>
      <c r="AW179" s="6753"/>
      <c r="AX179" s="6753"/>
      <c r="AY179" s="6753"/>
      <c r="AZ179" s="6753"/>
      <c r="BA179" s="6754"/>
      <c r="BB179" s="6752"/>
      <c r="BC179" s="6753"/>
      <c r="BD179" s="6753"/>
      <c r="BE179" s="6753"/>
      <c r="BF179" s="6753"/>
      <c r="BG179" s="6753"/>
      <c r="BH179" s="6753"/>
      <c r="BI179" s="6754"/>
      <c r="BJ179" s="6752"/>
      <c r="BK179" s="6753"/>
      <c r="BL179" s="6753"/>
      <c r="BM179" s="6753"/>
      <c r="BN179" s="6753"/>
      <c r="BO179" s="6753"/>
      <c r="BP179" s="6753"/>
      <c r="BQ179" s="6754"/>
      <c r="BR179" s="6752"/>
      <c r="BS179" s="6753"/>
      <c r="BT179" s="6753"/>
      <c r="BU179" s="6753"/>
      <c r="BV179" s="6753"/>
      <c r="BW179" s="6753"/>
      <c r="BX179" s="6753"/>
      <c r="BY179" s="6754"/>
      <c r="BZ179" s="6754"/>
      <c r="CA179" s="2344" t="s">
        <v>525</v>
      </c>
      <c r="CB179" s="2211"/>
      <c r="CC179" s="2345"/>
      <c r="CD179" s="2345" t="str">
        <f t="shared" si="5"/>
        <v>Схема подключения теплопотребляющей установки к коллектору источника тепловой энергии</v>
      </c>
      <c r="CE179" s="2345"/>
      <c r="CF179" s="2345"/>
    </row>
    <row r="180" spans="1:84" s="4315" customFormat="1" ht="21" customHeight="1">
      <c r="A180" s="2335"/>
      <c r="B180" s="2335"/>
      <c r="C180" s="2335"/>
      <c r="D180" s="2335"/>
      <c r="E180" s="6764"/>
      <c r="F180" s="6764" t="s">
        <v>104</v>
      </c>
      <c r="G180" s="6764"/>
      <c r="H180" s="6764"/>
      <c r="I180" s="6784"/>
      <c r="J180" s="6761" t="str">
        <f>I179&amp;".1"</f>
        <v>1.12.1.1.1.1</v>
      </c>
      <c r="K180" s="2335"/>
      <c r="L180" s="2336" t="s">
        <v>526</v>
      </c>
      <c r="M180" s="2205"/>
      <c r="N180" s="2205"/>
      <c r="O180" s="2352"/>
      <c r="P180" s="6762"/>
      <c r="Q180" s="6762">
        <v>1</v>
      </c>
      <c r="R180" s="2357"/>
      <c r="S180" s="2341" t="str">
        <f>$J180</f>
        <v>1.12.1.1.1.1</v>
      </c>
      <c r="T180" s="2358" t="s">
        <v>527</v>
      </c>
      <c r="U180" s="2343"/>
      <c r="V180" s="6752"/>
      <c r="W180" s="6753"/>
      <c r="X180" s="6753"/>
      <c r="Y180" s="6753"/>
      <c r="Z180" s="6753"/>
      <c r="AA180" s="6753"/>
      <c r="AB180" s="6753"/>
      <c r="AC180" s="6754"/>
      <c r="AD180" s="6752" t="s">
        <v>566</v>
      </c>
      <c r="AE180" s="6753"/>
      <c r="AF180" s="6753"/>
      <c r="AG180" s="6753"/>
      <c r="AH180" s="6753"/>
      <c r="AI180" s="6753"/>
      <c r="AJ180" s="6753"/>
      <c r="AK180" s="6753"/>
      <c r="AL180" s="6752"/>
      <c r="AM180" s="6753"/>
      <c r="AN180" s="6753"/>
      <c r="AO180" s="6753"/>
      <c r="AP180" s="6753"/>
      <c r="AQ180" s="6753"/>
      <c r="AR180" s="6753"/>
      <c r="AS180" s="6754"/>
      <c r="AT180" s="6752"/>
      <c r="AU180" s="6753"/>
      <c r="AV180" s="6753"/>
      <c r="AW180" s="6753"/>
      <c r="AX180" s="6753"/>
      <c r="AY180" s="6753"/>
      <c r="AZ180" s="6753"/>
      <c r="BA180" s="6754"/>
      <c r="BB180" s="6752"/>
      <c r="BC180" s="6753"/>
      <c r="BD180" s="6753"/>
      <c r="BE180" s="6753"/>
      <c r="BF180" s="6753"/>
      <c r="BG180" s="6753"/>
      <c r="BH180" s="6753"/>
      <c r="BI180" s="6754"/>
      <c r="BJ180" s="6752"/>
      <c r="BK180" s="6753"/>
      <c r="BL180" s="6753"/>
      <c r="BM180" s="6753"/>
      <c r="BN180" s="6753"/>
      <c r="BO180" s="6753"/>
      <c r="BP180" s="6753"/>
      <c r="BQ180" s="6754"/>
      <c r="BR180" s="6752"/>
      <c r="BS180" s="6753"/>
      <c r="BT180" s="6753"/>
      <c r="BU180" s="6753"/>
      <c r="BV180" s="6753"/>
      <c r="BW180" s="6753"/>
      <c r="BX180" s="6753"/>
      <c r="BY180" s="6754"/>
      <c r="BZ180" s="6754"/>
      <c r="CA180" s="2344" t="s">
        <v>528</v>
      </c>
      <c r="CB180" s="2211"/>
      <c r="CC180" s="2345"/>
      <c r="CD180" s="2345" t="str">
        <f t="shared" si="5"/>
        <v>Группа потребителей</v>
      </c>
      <c r="CE180" s="2345"/>
      <c r="CF180" s="2345"/>
    </row>
    <row r="181" spans="1:84" s="4316" customFormat="1" ht="21" customHeight="1">
      <c r="A181" s="2335"/>
      <c r="B181" s="2335"/>
      <c r="C181" s="2335"/>
      <c r="D181" s="2335"/>
      <c r="E181" s="6764"/>
      <c r="F181" s="6764" t="s">
        <v>104</v>
      </c>
      <c r="G181" s="6764"/>
      <c r="H181" s="6764"/>
      <c r="I181" s="6784"/>
      <c r="J181" s="6784"/>
      <c r="K181" s="6761" t="str">
        <f>J180&amp;".1"</f>
        <v>1.12.1.1.1.1.1</v>
      </c>
      <c r="L181" s="2336" t="s">
        <v>529</v>
      </c>
      <c r="M181" s="2205"/>
      <c r="N181" s="2205"/>
      <c r="O181" s="2205"/>
      <c r="P181" s="6762"/>
      <c r="Q181" s="6762"/>
      <c r="R181" s="2357">
        <v>1</v>
      </c>
      <c r="S181" s="2341" t="str">
        <f>$K181</f>
        <v>1.12.1.1.1.1.1</v>
      </c>
      <c r="T181" s="2360" t="s">
        <v>567</v>
      </c>
      <c r="U181" s="2343"/>
      <c r="V181" s="2763"/>
      <c r="W181" s="2763"/>
      <c r="X181" s="2763"/>
      <c r="Y181" s="2764"/>
      <c r="Z181" s="6768"/>
      <c r="AA181" s="6769" t="s">
        <v>61</v>
      </c>
      <c r="AB181" s="6768"/>
      <c r="AC181" s="6769" t="s">
        <v>61</v>
      </c>
      <c r="AD181" s="2078">
        <v>2736.89</v>
      </c>
      <c r="AE181" s="2079"/>
      <c r="AF181" s="2078"/>
      <c r="AG181" s="2080"/>
      <c r="AH181" s="6766">
        <v>45292.707013888888</v>
      </c>
      <c r="AI181" s="6610" t="s">
        <v>61</v>
      </c>
      <c r="AJ181" s="6766">
        <v>45838.707094907404</v>
      </c>
      <c r="AK181" s="6610" t="s">
        <v>61</v>
      </c>
      <c r="AL181" s="2078">
        <v>3049.45</v>
      </c>
      <c r="AM181" s="2079"/>
      <c r="AN181" s="2078"/>
      <c r="AO181" s="2080"/>
      <c r="AP181" s="6766">
        <v>45839.707337962966</v>
      </c>
      <c r="AQ181" s="6610" t="s">
        <v>61</v>
      </c>
      <c r="AR181" s="6766">
        <v>46203.707627314812</v>
      </c>
      <c r="AS181" s="6610" t="s">
        <v>61</v>
      </c>
      <c r="AT181" s="2078">
        <v>3155.86</v>
      </c>
      <c r="AU181" s="2079"/>
      <c r="AV181" s="2078"/>
      <c r="AW181" s="2080"/>
      <c r="AX181" s="6766">
        <v>46204.707939814813</v>
      </c>
      <c r="AY181" s="6610" t="s">
        <v>61</v>
      </c>
      <c r="AZ181" s="6766">
        <v>46568.708148148151</v>
      </c>
      <c r="BA181" s="6610" t="s">
        <v>61</v>
      </c>
      <c r="BB181" s="2078">
        <v>3534.69</v>
      </c>
      <c r="BC181" s="2079"/>
      <c r="BD181" s="2078"/>
      <c r="BE181" s="2080"/>
      <c r="BF181" s="6766">
        <v>46569.708483796298</v>
      </c>
      <c r="BG181" s="6610" t="s">
        <v>61</v>
      </c>
      <c r="BH181" s="6766">
        <v>46934.709050925929</v>
      </c>
      <c r="BI181" s="6610" t="s">
        <v>61</v>
      </c>
      <c r="BJ181" s="2078">
        <v>3370.79</v>
      </c>
      <c r="BK181" s="2079"/>
      <c r="BL181" s="2078"/>
      <c r="BM181" s="2080"/>
      <c r="BN181" s="6766">
        <v>46935.709386574075</v>
      </c>
      <c r="BO181" s="6610" t="s">
        <v>61</v>
      </c>
      <c r="BP181" s="6766">
        <v>47118.709560185183</v>
      </c>
      <c r="BQ181" s="6610" t="s">
        <v>56</v>
      </c>
      <c r="BR181" s="2763"/>
      <c r="BS181" s="2763"/>
      <c r="BT181" s="2763"/>
      <c r="BU181" s="2764"/>
      <c r="BV181" s="6768"/>
      <c r="BW181" s="6769" t="s">
        <v>61</v>
      </c>
      <c r="BX181" s="6768"/>
      <c r="BY181" s="6769" t="s">
        <v>61</v>
      </c>
      <c r="BZ181" s="2079"/>
      <c r="CA181" s="6758" t="s">
        <v>530</v>
      </c>
      <c r="CB181" s="2211" t="e">
        <f ca="1">STRCHECKDATE(V182:BZ182)</f>
        <v>#NAME?</v>
      </c>
      <c r="CC181" s="2345"/>
      <c r="CD181" s="2345" t="str">
        <f t="shared" si="5"/>
        <v>вода</v>
      </c>
      <c r="CE181" s="2345"/>
      <c r="CF181" s="2345"/>
    </row>
    <row r="182" spans="1:84" s="4317" customFormat="1" ht="0.75" customHeight="1">
      <c r="A182" s="2335"/>
      <c r="B182" s="2335"/>
      <c r="C182" s="2335"/>
      <c r="D182" s="2335"/>
      <c r="E182" s="6764"/>
      <c r="F182" s="6764" t="s">
        <v>104</v>
      </c>
      <c r="G182" s="6764"/>
      <c r="H182" s="6764"/>
      <c r="I182" s="6784"/>
      <c r="J182" s="6784"/>
      <c r="K182" s="6761"/>
      <c r="L182" s="2336"/>
      <c r="M182" s="2205"/>
      <c r="N182" s="2205"/>
      <c r="O182" s="2205"/>
      <c r="P182" s="6762"/>
      <c r="Q182" s="6762"/>
      <c r="R182" s="2357"/>
      <c r="S182" s="2362"/>
      <c r="T182" s="2343"/>
      <c r="U182" s="2343"/>
      <c r="V182" s="2763"/>
      <c r="W182" s="2763"/>
      <c r="X182" s="2763"/>
      <c r="Y182" s="2082" t="str">
        <f>Z181&amp;"-"&amp;AB181</f>
        <v>-</v>
      </c>
      <c r="Z182" s="6769"/>
      <c r="AA182" s="6769"/>
      <c r="AB182" s="6769"/>
      <c r="AC182" s="6769"/>
      <c r="AD182" s="2079"/>
      <c r="AE182" s="2079"/>
      <c r="AF182" s="2079"/>
      <c r="AG182" s="2082" t="str">
        <f>AH181&amp;"-"&amp;AJ181</f>
        <v>45292,7070138889-45838,7070949074</v>
      </c>
      <c r="AH182" s="6767"/>
      <c r="AI182" s="6610"/>
      <c r="AJ182" s="6767"/>
      <c r="AK182" s="6610"/>
      <c r="AL182" s="2079"/>
      <c r="AM182" s="2079"/>
      <c r="AN182" s="2079"/>
      <c r="AO182" s="2082" t="str">
        <f>AP181&amp;"-"&amp;AR181</f>
        <v>45839,707337963-46203,7076273148</v>
      </c>
      <c r="AP182" s="6767"/>
      <c r="AQ182" s="6610"/>
      <c r="AR182" s="6767"/>
      <c r="AS182" s="6610"/>
      <c r="AT182" s="2079"/>
      <c r="AU182" s="2079"/>
      <c r="AV182" s="2079"/>
      <c r="AW182" s="2082" t="str">
        <f>AX181&amp;"-"&amp;AZ181</f>
        <v>46204,7079398148-46568,7081481482</v>
      </c>
      <c r="AX182" s="6767"/>
      <c r="AY182" s="6610"/>
      <c r="AZ182" s="6767"/>
      <c r="BA182" s="6610"/>
      <c r="BB182" s="2079"/>
      <c r="BC182" s="2079"/>
      <c r="BD182" s="2079"/>
      <c r="BE182" s="2082" t="str">
        <f>BF181&amp;"-"&amp;BH181</f>
        <v>46569,7084837963-46934,7090509259</v>
      </c>
      <c r="BF182" s="6767"/>
      <c r="BG182" s="6610"/>
      <c r="BH182" s="6767"/>
      <c r="BI182" s="6610"/>
      <c r="BJ182" s="2079"/>
      <c r="BK182" s="2079"/>
      <c r="BL182" s="2079"/>
      <c r="BM182" s="2082" t="str">
        <f>BN181&amp;"-"&amp;BP181</f>
        <v>46935,7093865741-47118,7095601852</v>
      </c>
      <c r="BN182" s="6767"/>
      <c r="BO182" s="6610"/>
      <c r="BP182" s="6767"/>
      <c r="BQ182" s="6610"/>
      <c r="BR182" s="2763"/>
      <c r="BS182" s="2763"/>
      <c r="BT182" s="2763"/>
      <c r="BU182" s="2082" t="str">
        <f>BV181&amp;"-"&amp;BX181</f>
        <v>-</v>
      </c>
      <c r="BV182" s="6769"/>
      <c r="BW182" s="6769"/>
      <c r="BX182" s="6769"/>
      <c r="BY182" s="6769"/>
      <c r="BZ182" s="2079"/>
      <c r="CA182" s="6759"/>
      <c r="CB182" s="2211"/>
      <c r="CC182" s="2345"/>
      <c r="CD182" s="2345" t="str">
        <f t="shared" si="5"/>
        <v/>
      </c>
      <c r="CE182" s="2345"/>
      <c r="CF182" s="2345"/>
    </row>
    <row r="183" spans="1:84" s="4318" customFormat="1" ht="15" customHeight="1">
      <c r="A183" s="2335"/>
      <c r="B183" s="2335"/>
      <c r="C183" s="2335"/>
      <c r="D183" s="2335"/>
      <c r="E183" s="6764"/>
      <c r="F183" s="6764" t="s">
        <v>104</v>
      </c>
      <c r="G183" s="6764"/>
      <c r="H183" s="6764"/>
      <c r="I183" s="6784"/>
      <c r="J183" s="6761"/>
      <c r="K183" s="2335"/>
      <c r="L183" s="2336"/>
      <c r="M183" s="2205"/>
      <c r="N183" s="2205"/>
      <c r="O183" s="2352"/>
      <c r="P183" s="6762"/>
      <c r="Q183" s="6762"/>
      <c r="R183" s="2354"/>
      <c r="S183" s="4319"/>
      <c r="T183" s="4320" t="s">
        <v>531</v>
      </c>
      <c r="U183" s="4321"/>
      <c r="V183" s="4322"/>
      <c r="W183" s="4323"/>
      <c r="X183" s="4324"/>
      <c r="Y183" s="4325"/>
      <c r="Z183" s="4326"/>
      <c r="AA183" s="4327"/>
      <c r="AB183" s="4328"/>
      <c r="AC183" s="4329"/>
      <c r="AD183" s="4330"/>
      <c r="AE183" s="4331"/>
      <c r="AF183" s="4332"/>
      <c r="AG183" s="4333"/>
      <c r="AH183" s="4334"/>
      <c r="AI183" s="4335"/>
      <c r="AJ183" s="4336"/>
      <c r="AK183" s="4337"/>
      <c r="AL183" s="4338"/>
      <c r="AM183" s="4339"/>
      <c r="AN183" s="4340"/>
      <c r="AO183" s="4341"/>
      <c r="AP183" s="4342"/>
      <c r="AQ183" s="4343"/>
      <c r="AR183" s="4344"/>
      <c r="AS183" s="4345"/>
      <c r="AT183" s="4346"/>
      <c r="AU183" s="4347"/>
      <c r="AV183" s="4348"/>
      <c r="AW183" s="4349"/>
      <c r="AX183" s="4350"/>
      <c r="AY183" s="4351"/>
      <c r="AZ183" s="4352"/>
      <c r="BA183" s="4353"/>
      <c r="BB183" s="4354"/>
      <c r="BC183" s="4355"/>
      <c r="BD183" s="4356"/>
      <c r="BE183" s="4357"/>
      <c r="BF183" s="4358"/>
      <c r="BG183" s="4359"/>
      <c r="BH183" s="4360"/>
      <c r="BI183" s="4361"/>
      <c r="BJ183" s="4362"/>
      <c r="BK183" s="4363"/>
      <c r="BL183" s="4364"/>
      <c r="BM183" s="4365"/>
      <c r="BN183" s="4366"/>
      <c r="BO183" s="4367"/>
      <c r="BP183" s="4368"/>
      <c r="BQ183" s="4369"/>
      <c r="BR183" s="4370"/>
      <c r="BS183" s="4371"/>
      <c r="BT183" s="4372"/>
      <c r="BU183" s="4373"/>
      <c r="BV183" s="4374"/>
      <c r="BW183" s="4375"/>
      <c r="BX183" s="4376"/>
      <c r="BY183" s="4377"/>
      <c r="BZ183" s="4378"/>
      <c r="CA183" s="6760"/>
      <c r="CB183" s="2211"/>
      <c r="CC183" s="2345"/>
      <c r="CD183" s="2345" t="str">
        <f t="shared" si="5"/>
        <v>Добавить вид теплоносителя (параметры теплоносителя)</v>
      </c>
      <c r="CE183" s="2345"/>
      <c r="CF183" s="2345"/>
    </row>
    <row r="184" spans="1:84" s="4379" customFormat="1" ht="15" customHeight="1">
      <c r="A184" s="2335"/>
      <c r="B184" s="2335"/>
      <c r="C184" s="2335"/>
      <c r="D184" s="2335"/>
      <c r="E184" s="6764"/>
      <c r="F184" s="6764" t="s">
        <v>104</v>
      </c>
      <c r="G184" s="6764"/>
      <c r="H184" s="6764"/>
      <c r="I184" s="6761"/>
      <c r="J184" s="2335"/>
      <c r="K184" s="2335"/>
      <c r="L184" s="2336"/>
      <c r="M184" s="2205"/>
      <c r="N184" s="2352"/>
      <c r="O184" s="2352"/>
      <c r="P184" s="6762"/>
      <c r="Q184" s="2353"/>
      <c r="R184" s="2354"/>
      <c r="S184" s="4380"/>
      <c r="T184" s="4381" t="s">
        <v>532</v>
      </c>
      <c r="U184" s="4382"/>
      <c r="V184" s="4383"/>
      <c r="W184" s="4384"/>
      <c r="X184" s="4385"/>
      <c r="Y184" s="4386"/>
      <c r="Z184" s="4387"/>
      <c r="AA184" s="4388"/>
      <c r="AB184" s="4389"/>
      <c r="AC184" s="4390"/>
      <c r="AD184" s="4391"/>
      <c r="AE184" s="4392"/>
      <c r="AF184" s="4393"/>
      <c r="AG184" s="4394"/>
      <c r="AH184" s="4395"/>
      <c r="AI184" s="4396"/>
      <c r="AJ184" s="4397"/>
      <c r="AK184" s="4398"/>
      <c r="AL184" s="4399"/>
      <c r="AM184" s="4400"/>
      <c r="AN184" s="4401"/>
      <c r="AO184" s="4402"/>
      <c r="AP184" s="4403"/>
      <c r="AQ184" s="4404"/>
      <c r="AR184" s="4405"/>
      <c r="AS184" s="4406"/>
      <c r="AT184" s="4407"/>
      <c r="AU184" s="4408"/>
      <c r="AV184" s="4409"/>
      <c r="AW184" s="4410"/>
      <c r="AX184" s="4411"/>
      <c r="AY184" s="4412"/>
      <c r="AZ184" s="4413"/>
      <c r="BA184" s="4414"/>
      <c r="BB184" s="4415"/>
      <c r="BC184" s="4416"/>
      <c r="BD184" s="4417"/>
      <c r="BE184" s="4418"/>
      <c r="BF184" s="4419"/>
      <c r="BG184" s="4420"/>
      <c r="BH184" s="4421"/>
      <c r="BI184" s="4422"/>
      <c r="BJ184" s="4423"/>
      <c r="BK184" s="4424"/>
      <c r="BL184" s="4425"/>
      <c r="BM184" s="4426"/>
      <c r="BN184" s="4427"/>
      <c r="BO184" s="4428"/>
      <c r="BP184" s="4429"/>
      <c r="BQ184" s="4430"/>
      <c r="BR184" s="4431"/>
      <c r="BS184" s="4432"/>
      <c r="BT184" s="4433"/>
      <c r="BU184" s="4434"/>
      <c r="BV184" s="4435"/>
      <c r="BW184" s="4436"/>
      <c r="BX184" s="4437"/>
      <c r="BY184" s="4438"/>
      <c r="BZ184" s="4439"/>
      <c r="CA184" s="4440"/>
      <c r="CB184" s="2211"/>
      <c r="CC184" s="2345"/>
      <c r="CD184" s="2345" t="str">
        <f t="shared" si="5"/>
        <v>Добавить группу потребителей</v>
      </c>
      <c r="CE184" s="2345"/>
      <c r="CF184" s="2345"/>
    </row>
    <row r="185" spans="1:84" s="4441" customFormat="1" ht="14.25" customHeight="1">
      <c r="A185" s="2335"/>
      <c r="B185" s="2335"/>
      <c r="C185" s="2335"/>
      <c r="D185" s="2335"/>
      <c r="E185" s="6764"/>
      <c r="F185" s="6764" t="s">
        <v>104</v>
      </c>
      <c r="G185" s="6764"/>
      <c r="H185" s="6763"/>
      <c r="I185" s="2335"/>
      <c r="J185" s="2335"/>
      <c r="K185" s="2335"/>
      <c r="L185" s="2336"/>
      <c r="M185" s="2337"/>
      <c r="N185" s="2337"/>
      <c r="O185" s="2205"/>
      <c r="P185" s="2487"/>
      <c r="Q185" s="2488"/>
      <c r="R185" s="2489"/>
      <c r="S185" s="4442"/>
      <c r="T185" s="4443" t="s">
        <v>533</v>
      </c>
      <c r="U185" s="4444"/>
      <c r="V185" s="4445"/>
      <c r="W185" s="4446"/>
      <c r="X185" s="4447"/>
      <c r="Y185" s="4448"/>
      <c r="Z185" s="4449"/>
      <c r="AA185" s="4450"/>
      <c r="AB185" s="4451"/>
      <c r="AC185" s="4452"/>
      <c r="AD185" s="4453"/>
      <c r="AE185" s="4454"/>
      <c r="AF185" s="4455"/>
      <c r="AG185" s="4456"/>
      <c r="AH185" s="4457"/>
      <c r="AI185" s="4458"/>
      <c r="AJ185" s="4459"/>
      <c r="AK185" s="4460"/>
      <c r="AL185" s="4461"/>
      <c r="AM185" s="4462"/>
      <c r="AN185" s="4463"/>
      <c r="AO185" s="4464"/>
      <c r="AP185" s="4465"/>
      <c r="AQ185" s="4466"/>
      <c r="AR185" s="4467"/>
      <c r="AS185" s="4468"/>
      <c r="AT185" s="4469"/>
      <c r="AU185" s="4470"/>
      <c r="AV185" s="4471"/>
      <c r="AW185" s="4472"/>
      <c r="AX185" s="4473"/>
      <c r="AY185" s="4474"/>
      <c r="AZ185" s="4475"/>
      <c r="BA185" s="4476"/>
      <c r="BB185" s="4477"/>
      <c r="BC185" s="4478"/>
      <c r="BD185" s="4479"/>
      <c r="BE185" s="4480"/>
      <c r="BF185" s="4481"/>
      <c r="BG185" s="4482"/>
      <c r="BH185" s="4483"/>
      <c r="BI185" s="4484"/>
      <c r="BJ185" s="4485"/>
      <c r="BK185" s="4486"/>
      <c r="BL185" s="4487"/>
      <c r="BM185" s="4488"/>
      <c r="BN185" s="4489"/>
      <c r="BO185" s="4490"/>
      <c r="BP185" s="4491"/>
      <c r="BQ185" s="4492"/>
      <c r="BR185" s="4493"/>
      <c r="BS185" s="4494"/>
      <c r="BT185" s="4495"/>
      <c r="BU185" s="4496"/>
      <c r="BV185" s="4497"/>
      <c r="BW185" s="4498"/>
      <c r="BX185" s="4499"/>
      <c r="BY185" s="4500"/>
      <c r="BZ185" s="4501"/>
      <c r="CA185" s="4502"/>
      <c r="CB185" s="2211"/>
      <c r="CC185" s="2345"/>
      <c r="CD185" s="2345" t="str">
        <f t="shared" si="5"/>
        <v>Добавить схему подключения</v>
      </c>
      <c r="CE185" s="2345"/>
      <c r="CF185" s="2345"/>
    </row>
    <row r="186" spans="1:84" s="4503" customFormat="1" ht="0.75" customHeight="1">
      <c r="A186" s="2552"/>
      <c r="B186" s="2552"/>
      <c r="C186" s="2552"/>
      <c r="D186" s="2552"/>
      <c r="E186" s="6764"/>
      <c r="F186" s="6764" t="s">
        <v>104</v>
      </c>
      <c r="G186" s="6763"/>
      <c r="H186" s="2552"/>
      <c r="I186" s="2552"/>
      <c r="J186" s="2552"/>
      <c r="K186" s="2552"/>
      <c r="L186" s="2553"/>
      <c r="M186" s="2554"/>
      <c r="N186" s="2554"/>
      <c r="O186" s="2211"/>
      <c r="P186" s="2555"/>
      <c r="Q186" s="2556"/>
      <c r="R186" s="2555"/>
      <c r="S186" s="2557"/>
      <c r="T186" s="2558" t="s">
        <v>228</v>
      </c>
      <c r="U186" s="2203"/>
      <c r="V186" s="2203"/>
      <c r="W186" s="2203"/>
      <c r="X186" s="2203"/>
      <c r="Y186" s="2203"/>
      <c r="Z186" s="2203"/>
      <c r="AA186" s="2203"/>
      <c r="AB186" s="2203"/>
      <c r="AC186" s="2203"/>
      <c r="AD186" s="2203"/>
      <c r="AE186" s="2203"/>
      <c r="AF186" s="2203"/>
      <c r="AG186" s="2203"/>
      <c r="AH186" s="2203"/>
      <c r="AI186" s="2203"/>
      <c r="AJ186" s="2203"/>
      <c r="AK186" s="2203"/>
      <c r="AL186" s="2203"/>
      <c r="AM186" s="2203"/>
      <c r="AN186" s="2203"/>
      <c r="AO186" s="2203"/>
      <c r="AP186" s="2203"/>
      <c r="AQ186" s="2203"/>
      <c r="AR186" s="2203"/>
      <c r="AS186" s="2203"/>
      <c r="AT186" s="2203"/>
      <c r="AU186" s="2203"/>
      <c r="AV186" s="2203"/>
      <c r="AW186" s="2203"/>
      <c r="AX186" s="2203"/>
      <c r="AY186" s="2203"/>
      <c r="AZ186" s="2203"/>
      <c r="BA186" s="2203"/>
      <c r="BB186" s="2203"/>
      <c r="BC186" s="2203"/>
      <c r="BD186" s="2203"/>
      <c r="BE186" s="2203"/>
      <c r="BF186" s="2203"/>
      <c r="BG186" s="2203"/>
      <c r="BH186" s="2203"/>
      <c r="BI186" s="2203"/>
      <c r="BJ186" s="2203"/>
      <c r="BK186" s="2203"/>
      <c r="BL186" s="2203"/>
      <c r="BM186" s="2203"/>
      <c r="BN186" s="2203"/>
      <c r="BO186" s="2203"/>
      <c r="BP186" s="2203"/>
      <c r="BQ186" s="2203"/>
      <c r="BR186" s="2203"/>
      <c r="BS186" s="2203"/>
      <c r="BT186" s="2203"/>
      <c r="BU186" s="2203"/>
      <c r="BV186" s="2203"/>
      <c r="BW186" s="2203"/>
      <c r="BX186" s="2203"/>
      <c r="BY186" s="2203"/>
      <c r="BZ186" s="2203"/>
      <c r="CA186" s="2203"/>
      <c r="CB186" s="2211"/>
      <c r="CC186" s="2345"/>
      <c r="CD186" s="2345" t="str">
        <f t="shared" si="5"/>
        <v>Добавить источник для дифференциации</v>
      </c>
      <c r="CE186" s="2345"/>
      <c r="CF186" s="2345"/>
    </row>
    <row r="187" spans="1:84" s="4504" customFormat="1" ht="0.75" customHeight="1">
      <c r="A187" s="2552"/>
      <c r="B187" s="2552"/>
      <c r="C187" s="2552"/>
      <c r="D187" s="2552"/>
      <c r="E187" s="6764"/>
      <c r="F187" s="6763" t="s">
        <v>104</v>
      </c>
      <c r="G187" s="2552"/>
      <c r="H187" s="2552"/>
      <c r="I187" s="2552"/>
      <c r="J187" s="2552"/>
      <c r="K187" s="2552"/>
      <c r="L187" s="2553"/>
      <c r="M187" s="2560"/>
      <c r="N187" s="2560"/>
      <c r="O187" s="2211"/>
      <c r="P187" s="2555"/>
      <c r="Q187" s="2556"/>
      <c r="R187" s="2555"/>
      <c r="S187" s="2561"/>
      <c r="T187" s="2562" t="s">
        <v>229</v>
      </c>
      <c r="U187" s="2204"/>
      <c r="V187" s="2204"/>
      <c r="W187" s="2204"/>
      <c r="X187" s="2204"/>
      <c r="Y187" s="2204"/>
      <c r="Z187" s="2204"/>
      <c r="AA187" s="2204"/>
      <c r="AB187" s="2204"/>
      <c r="AC187" s="2204"/>
      <c r="AD187" s="2204"/>
      <c r="AE187" s="2204"/>
      <c r="AF187" s="2204"/>
      <c r="AG187" s="2204"/>
      <c r="AH187" s="2204"/>
      <c r="AI187" s="2204"/>
      <c r="AJ187" s="2204"/>
      <c r="AK187" s="2204"/>
      <c r="AL187" s="2204"/>
      <c r="AM187" s="2204"/>
      <c r="AN187" s="2204"/>
      <c r="AO187" s="2204"/>
      <c r="AP187" s="2204"/>
      <c r="AQ187" s="2204"/>
      <c r="AR187" s="2204"/>
      <c r="AS187" s="2204"/>
      <c r="AT187" s="2204"/>
      <c r="AU187" s="2204"/>
      <c r="AV187" s="2204"/>
      <c r="AW187" s="2204"/>
      <c r="AX187" s="2204"/>
      <c r="AY187" s="2204"/>
      <c r="AZ187" s="2204"/>
      <c r="BA187" s="2204"/>
      <c r="BB187" s="2204"/>
      <c r="BC187" s="2204"/>
      <c r="BD187" s="2204"/>
      <c r="BE187" s="2204"/>
      <c r="BF187" s="2204"/>
      <c r="BG187" s="2204"/>
      <c r="BH187" s="2204"/>
      <c r="BI187" s="2204"/>
      <c r="BJ187" s="2204"/>
      <c r="BK187" s="2204"/>
      <c r="BL187" s="2204"/>
      <c r="BM187" s="2204"/>
      <c r="BN187" s="2204"/>
      <c r="BO187" s="2204"/>
      <c r="BP187" s="2204"/>
      <c r="BQ187" s="2204"/>
      <c r="BR187" s="2204"/>
      <c r="BS187" s="2204"/>
      <c r="BT187" s="2204"/>
      <c r="BU187" s="2204"/>
      <c r="BV187" s="2204"/>
      <c r="BW187" s="2204"/>
      <c r="BX187" s="2204"/>
      <c r="BY187" s="2204"/>
      <c r="BZ187" s="2204"/>
      <c r="CA187" s="2204"/>
      <c r="CB187" s="2211"/>
      <c r="CC187" s="2345"/>
      <c r="CD187" s="2345" t="str">
        <f t="shared" si="5"/>
        <v>Добавить централизованную систему для дифференциации</v>
      </c>
      <c r="CE187" s="2345"/>
      <c r="CF187" s="2345"/>
    </row>
    <row r="188" spans="1:84" s="4505" customFormat="1" ht="21" customHeight="1">
      <c r="A188" s="2335"/>
      <c r="B188" s="2335" t="s">
        <v>263</v>
      </c>
      <c r="C188" s="2335"/>
      <c r="D188" s="2335"/>
      <c r="E188" s="6764"/>
      <c r="F188" s="6763" t="s">
        <v>152</v>
      </c>
      <c r="G188" s="2335"/>
      <c r="H188" s="2335"/>
      <c r="I188" s="2335"/>
      <c r="J188" s="2335"/>
      <c r="K188" s="2335"/>
      <c r="L188" s="2336"/>
      <c r="M188" s="2337"/>
      <c r="N188" s="2337"/>
      <c r="O188" s="2337"/>
      <c r="P188" s="2338"/>
      <c r="Q188" s="2339"/>
      <c r="R188" s="2340"/>
      <c r="S188" s="2341" t="str">
        <f>INDEX(PT_DIFFERENTIATION_NUM_TER,MATCH(B188,PT_DIFFERENTIATION_TER_ID,0))</f>
        <v>1.13</v>
      </c>
      <c r="T188" s="2342" t="s">
        <v>517</v>
      </c>
      <c r="U188" s="2343"/>
      <c r="V188" s="6749"/>
      <c r="W188" s="6750"/>
      <c r="X188" s="6750"/>
      <c r="Y188" s="6750"/>
      <c r="Z188" s="6750"/>
      <c r="AA188" s="6750"/>
      <c r="AB188" s="6750"/>
      <c r="AC188" s="6751"/>
      <c r="AD188" s="6749" t="str">
        <f>INDEX(PT_DIFFERENTIATION_TER,MATCH(B188,PT_DIFFERENTIATION_TER_ID,0))</f>
        <v>Территория 12</v>
      </c>
      <c r="AE188" s="6750"/>
      <c r="AF188" s="6750"/>
      <c r="AG188" s="6750"/>
      <c r="AH188" s="6750"/>
      <c r="AI188" s="6750"/>
      <c r="AJ188" s="6750"/>
      <c r="AK188" s="6750"/>
      <c r="AL188" s="6749"/>
      <c r="AM188" s="6750"/>
      <c r="AN188" s="6750"/>
      <c r="AO188" s="6750"/>
      <c r="AP188" s="6750"/>
      <c r="AQ188" s="6750"/>
      <c r="AR188" s="6750"/>
      <c r="AS188" s="6751"/>
      <c r="AT188" s="6749"/>
      <c r="AU188" s="6750"/>
      <c r="AV188" s="6750"/>
      <c r="AW188" s="6750"/>
      <c r="AX188" s="6750"/>
      <c r="AY188" s="6750"/>
      <c r="AZ188" s="6750"/>
      <c r="BA188" s="6751"/>
      <c r="BB188" s="6749"/>
      <c r="BC188" s="6750"/>
      <c r="BD188" s="6750"/>
      <c r="BE188" s="6750"/>
      <c r="BF188" s="6750"/>
      <c r="BG188" s="6750"/>
      <c r="BH188" s="6750"/>
      <c r="BI188" s="6751"/>
      <c r="BJ188" s="6749"/>
      <c r="BK188" s="6750"/>
      <c r="BL188" s="6750"/>
      <c r="BM188" s="6750"/>
      <c r="BN188" s="6750"/>
      <c r="BO188" s="6750"/>
      <c r="BP188" s="6750"/>
      <c r="BQ188" s="6751"/>
      <c r="BR188" s="6749"/>
      <c r="BS188" s="6750"/>
      <c r="BT188" s="6750"/>
      <c r="BU188" s="6750"/>
      <c r="BV188" s="6750"/>
      <c r="BW188" s="6750"/>
      <c r="BX188" s="6750"/>
      <c r="BY188" s="6751"/>
      <c r="BZ188" s="6751"/>
      <c r="CA188" s="2344" t="s">
        <v>518</v>
      </c>
      <c r="CB188" s="2211"/>
      <c r="CC188" s="2345"/>
      <c r="CD188" s="2345" t="str">
        <f t="shared" si="5"/>
        <v>Территория действия тарифа</v>
      </c>
      <c r="CE188" s="2345"/>
      <c r="CF188" s="2345"/>
    </row>
    <row r="189" spans="1:84" s="4506" customFormat="1" ht="23.25" customHeight="1">
      <c r="A189" s="2335"/>
      <c r="B189" s="2335"/>
      <c r="C189" s="2335" t="s">
        <v>264</v>
      </c>
      <c r="D189" s="2335"/>
      <c r="E189" s="6764"/>
      <c r="F189" s="6764" t="s">
        <v>147</v>
      </c>
      <c r="G189" s="6763">
        <v>1</v>
      </c>
      <c r="H189" s="2335"/>
      <c r="I189" s="2335"/>
      <c r="J189" s="2335"/>
      <c r="K189" s="2335"/>
      <c r="L189" s="2336"/>
      <c r="M189" s="2337"/>
      <c r="N189" s="2337"/>
      <c r="O189" s="2337"/>
      <c r="P189" s="2347"/>
      <c r="Q189" s="2339"/>
      <c r="R189" s="2340"/>
      <c r="S189" s="2341" t="str">
        <f>INDEX(PT_DIFFERENTIATION_NUM_CS,MATCH(C189,PT_DIFFERENTIATION_CS_ID,0))</f>
        <v>1.13.1</v>
      </c>
      <c r="T189" s="2348" t="s">
        <v>519</v>
      </c>
      <c r="U189" s="2343"/>
      <c r="V189" s="6749"/>
      <c r="W189" s="6750"/>
      <c r="X189" s="6750"/>
      <c r="Y189" s="6750"/>
      <c r="Z189" s="6750"/>
      <c r="AA189" s="6750"/>
      <c r="AB189" s="6750"/>
      <c r="AC189" s="6751"/>
      <c r="AD189" s="6749" t="str">
        <f>INDEX(PT_DIFFERENTIATION_CS,MATCH(C189,PT_DIFFERENTIATION_CS_ID,0))</f>
        <v>без дифференциации</v>
      </c>
      <c r="AE189" s="6750"/>
      <c r="AF189" s="6750"/>
      <c r="AG189" s="6750"/>
      <c r="AH189" s="6750"/>
      <c r="AI189" s="6750"/>
      <c r="AJ189" s="6750"/>
      <c r="AK189" s="6750"/>
      <c r="AL189" s="6749"/>
      <c r="AM189" s="6750"/>
      <c r="AN189" s="6750"/>
      <c r="AO189" s="6750"/>
      <c r="AP189" s="6750"/>
      <c r="AQ189" s="6750"/>
      <c r="AR189" s="6750"/>
      <c r="AS189" s="6751"/>
      <c r="AT189" s="6749"/>
      <c r="AU189" s="6750"/>
      <c r="AV189" s="6750"/>
      <c r="AW189" s="6750"/>
      <c r="AX189" s="6750"/>
      <c r="AY189" s="6750"/>
      <c r="AZ189" s="6750"/>
      <c r="BA189" s="6751"/>
      <c r="BB189" s="6749"/>
      <c r="BC189" s="6750"/>
      <c r="BD189" s="6750"/>
      <c r="BE189" s="6750"/>
      <c r="BF189" s="6750"/>
      <c r="BG189" s="6750"/>
      <c r="BH189" s="6750"/>
      <c r="BI189" s="6751"/>
      <c r="BJ189" s="6749"/>
      <c r="BK189" s="6750"/>
      <c r="BL189" s="6750"/>
      <c r="BM189" s="6750"/>
      <c r="BN189" s="6750"/>
      <c r="BO189" s="6750"/>
      <c r="BP189" s="6750"/>
      <c r="BQ189" s="6751"/>
      <c r="BR189" s="6749"/>
      <c r="BS189" s="6750"/>
      <c r="BT189" s="6750"/>
      <c r="BU189" s="6750"/>
      <c r="BV189" s="6750"/>
      <c r="BW189" s="6750"/>
      <c r="BX189" s="6750"/>
      <c r="BY189" s="6751"/>
      <c r="BZ189" s="6751"/>
      <c r="CA189" s="2344" t="s">
        <v>520</v>
      </c>
      <c r="CB189" s="2211"/>
      <c r="CC189" s="2345"/>
      <c r="CD189" s="2345" t="str">
        <f t="shared" si="5"/>
        <v xml:space="preserve">Наименование системы теплоснабжения </v>
      </c>
      <c r="CE189" s="2345"/>
      <c r="CF189" s="2345"/>
    </row>
    <row r="190" spans="1:84" s="4507" customFormat="1" ht="21" customHeight="1">
      <c r="A190" s="2335"/>
      <c r="B190" s="2335"/>
      <c r="C190" s="2335"/>
      <c r="D190" s="2335" t="s">
        <v>265</v>
      </c>
      <c r="E190" s="6764"/>
      <c r="F190" s="6764" t="s">
        <v>147</v>
      </c>
      <c r="G190" s="6764"/>
      <c r="H190" s="6763">
        <v>1</v>
      </c>
      <c r="I190" s="2335"/>
      <c r="J190" s="2335"/>
      <c r="K190" s="2335"/>
      <c r="L190" s="2336"/>
      <c r="M190" s="2337"/>
      <c r="N190" s="2337"/>
      <c r="O190" s="2337"/>
      <c r="P190" s="2347"/>
      <c r="Q190" s="2339"/>
      <c r="R190" s="2340"/>
      <c r="S190" s="2341" t="str">
        <f>INDEX(PT_DIFFERENTIATION_NUM_IST_TE,MATCH(D190,PT_DIFFERENTIATION_IST_TE_ID,0))</f>
        <v>1.13.1.1</v>
      </c>
      <c r="T190" s="2350" t="s">
        <v>521</v>
      </c>
      <c r="U190" s="2343"/>
      <c r="V190" s="6749"/>
      <c r="W190" s="6750"/>
      <c r="X190" s="6750"/>
      <c r="Y190" s="6750"/>
      <c r="Z190" s="6750"/>
      <c r="AA190" s="6750"/>
      <c r="AB190" s="6750"/>
      <c r="AC190" s="6751"/>
      <c r="AD190" s="6749" t="str">
        <f>INDEX(PT_DIFFERENTIATION_IST_TE,MATCH(D190,PT_DIFFERENTIATION_IST_TE_ID,0))</f>
        <v>без дифференциации</v>
      </c>
      <c r="AE190" s="6750"/>
      <c r="AF190" s="6750"/>
      <c r="AG190" s="6750"/>
      <c r="AH190" s="6750"/>
      <c r="AI190" s="6750"/>
      <c r="AJ190" s="6750"/>
      <c r="AK190" s="6750"/>
      <c r="AL190" s="6749"/>
      <c r="AM190" s="6750"/>
      <c r="AN190" s="6750"/>
      <c r="AO190" s="6750"/>
      <c r="AP190" s="6750"/>
      <c r="AQ190" s="6750"/>
      <c r="AR190" s="6750"/>
      <c r="AS190" s="6751"/>
      <c r="AT190" s="6749"/>
      <c r="AU190" s="6750"/>
      <c r="AV190" s="6750"/>
      <c r="AW190" s="6750"/>
      <c r="AX190" s="6750"/>
      <c r="AY190" s="6750"/>
      <c r="AZ190" s="6750"/>
      <c r="BA190" s="6751"/>
      <c r="BB190" s="6749"/>
      <c r="BC190" s="6750"/>
      <c r="BD190" s="6750"/>
      <c r="BE190" s="6750"/>
      <c r="BF190" s="6750"/>
      <c r="BG190" s="6750"/>
      <c r="BH190" s="6750"/>
      <c r="BI190" s="6751"/>
      <c r="BJ190" s="6749"/>
      <c r="BK190" s="6750"/>
      <c r="BL190" s="6750"/>
      <c r="BM190" s="6750"/>
      <c r="BN190" s="6750"/>
      <c r="BO190" s="6750"/>
      <c r="BP190" s="6750"/>
      <c r="BQ190" s="6751"/>
      <c r="BR190" s="6749"/>
      <c r="BS190" s="6750"/>
      <c r="BT190" s="6750"/>
      <c r="BU190" s="6750"/>
      <c r="BV190" s="6750"/>
      <c r="BW190" s="6750"/>
      <c r="BX190" s="6750"/>
      <c r="BY190" s="6751"/>
      <c r="BZ190" s="6751"/>
      <c r="CA190" s="2344" t="s">
        <v>522</v>
      </c>
      <c r="CB190" s="2211"/>
      <c r="CC190" s="2345"/>
      <c r="CD190" s="2345" t="str">
        <f t="shared" si="5"/>
        <v xml:space="preserve">Источник тепловой энергии  </v>
      </c>
      <c r="CE190" s="2345"/>
      <c r="CF190" s="2345"/>
    </row>
    <row r="191" spans="1:84" s="4508" customFormat="1" ht="47.25" customHeight="1">
      <c r="A191" s="2335"/>
      <c r="B191" s="2335"/>
      <c r="C191" s="2335"/>
      <c r="D191" s="2335"/>
      <c r="E191" s="6764"/>
      <c r="F191" s="6764" t="s">
        <v>147</v>
      </c>
      <c r="G191" s="6764"/>
      <c r="H191" s="6764"/>
      <c r="I191" s="6761" t="str">
        <f>S190&amp;".1"</f>
        <v>1.13.1.1.1</v>
      </c>
      <c r="J191" s="2335"/>
      <c r="K191" s="2335"/>
      <c r="L191" s="2336" t="s">
        <v>523</v>
      </c>
      <c r="M191" s="2205"/>
      <c r="N191" s="2352"/>
      <c r="O191" s="2352"/>
      <c r="P191" s="6762">
        <v>1</v>
      </c>
      <c r="Q191" s="2353"/>
      <c r="R191" s="2354"/>
      <c r="S191" s="2341" t="str">
        <f>$I191</f>
        <v>1.13.1.1.1</v>
      </c>
      <c r="T191" s="2355" t="s">
        <v>524</v>
      </c>
      <c r="U191" s="2343"/>
      <c r="V191" s="6752"/>
      <c r="W191" s="6753"/>
      <c r="X191" s="6753"/>
      <c r="Y191" s="6753"/>
      <c r="Z191" s="6753"/>
      <c r="AA191" s="6753"/>
      <c r="AB191" s="6753"/>
      <c r="AC191" s="6754"/>
      <c r="AD191" s="6752" t="s">
        <v>566</v>
      </c>
      <c r="AE191" s="6753"/>
      <c r="AF191" s="6753"/>
      <c r="AG191" s="6753"/>
      <c r="AH191" s="6753"/>
      <c r="AI191" s="6753"/>
      <c r="AJ191" s="6753"/>
      <c r="AK191" s="6753"/>
      <c r="AL191" s="6752"/>
      <c r="AM191" s="6753"/>
      <c r="AN191" s="6753"/>
      <c r="AO191" s="6753"/>
      <c r="AP191" s="6753"/>
      <c r="AQ191" s="6753"/>
      <c r="AR191" s="6753"/>
      <c r="AS191" s="6754"/>
      <c r="AT191" s="6752"/>
      <c r="AU191" s="6753"/>
      <c r="AV191" s="6753"/>
      <c r="AW191" s="6753"/>
      <c r="AX191" s="6753"/>
      <c r="AY191" s="6753"/>
      <c r="AZ191" s="6753"/>
      <c r="BA191" s="6754"/>
      <c r="BB191" s="6752"/>
      <c r="BC191" s="6753"/>
      <c r="BD191" s="6753"/>
      <c r="BE191" s="6753"/>
      <c r="BF191" s="6753"/>
      <c r="BG191" s="6753"/>
      <c r="BH191" s="6753"/>
      <c r="BI191" s="6754"/>
      <c r="BJ191" s="6752"/>
      <c r="BK191" s="6753"/>
      <c r="BL191" s="6753"/>
      <c r="BM191" s="6753"/>
      <c r="BN191" s="6753"/>
      <c r="BO191" s="6753"/>
      <c r="BP191" s="6753"/>
      <c r="BQ191" s="6754"/>
      <c r="BR191" s="6752"/>
      <c r="BS191" s="6753"/>
      <c r="BT191" s="6753"/>
      <c r="BU191" s="6753"/>
      <c r="BV191" s="6753"/>
      <c r="BW191" s="6753"/>
      <c r="BX191" s="6753"/>
      <c r="BY191" s="6754"/>
      <c r="BZ191" s="6754"/>
      <c r="CA191" s="2344" t="s">
        <v>525</v>
      </c>
      <c r="CB191" s="2211"/>
      <c r="CC191" s="2345"/>
      <c r="CD191" s="2345" t="str">
        <f t="shared" si="5"/>
        <v>Схема подключения теплопотребляющей установки к коллектору источника тепловой энергии</v>
      </c>
      <c r="CE191" s="2345"/>
      <c r="CF191" s="2345"/>
    </row>
    <row r="192" spans="1:84" s="4509" customFormat="1" ht="21" customHeight="1">
      <c r="A192" s="2335"/>
      <c r="B192" s="2335"/>
      <c r="C192" s="2335"/>
      <c r="D192" s="2335"/>
      <c r="E192" s="6764"/>
      <c r="F192" s="6764" t="s">
        <v>147</v>
      </c>
      <c r="G192" s="6764"/>
      <c r="H192" s="6764"/>
      <c r="I192" s="6784"/>
      <c r="J192" s="6761" t="str">
        <f>I191&amp;".1"</f>
        <v>1.13.1.1.1.1</v>
      </c>
      <c r="K192" s="2335"/>
      <c r="L192" s="2336" t="s">
        <v>526</v>
      </c>
      <c r="M192" s="2205"/>
      <c r="N192" s="2205"/>
      <c r="O192" s="2352"/>
      <c r="P192" s="6762"/>
      <c r="Q192" s="6762">
        <v>1</v>
      </c>
      <c r="R192" s="2357"/>
      <c r="S192" s="2341" t="str">
        <f>$J192</f>
        <v>1.13.1.1.1.1</v>
      </c>
      <c r="T192" s="2358" t="s">
        <v>527</v>
      </c>
      <c r="U192" s="2343"/>
      <c r="V192" s="6752"/>
      <c r="W192" s="6753"/>
      <c r="X192" s="6753"/>
      <c r="Y192" s="6753"/>
      <c r="Z192" s="6753"/>
      <c r="AA192" s="6753"/>
      <c r="AB192" s="6753"/>
      <c r="AC192" s="6754"/>
      <c r="AD192" s="6752" t="s">
        <v>566</v>
      </c>
      <c r="AE192" s="6753"/>
      <c r="AF192" s="6753"/>
      <c r="AG192" s="6753"/>
      <c r="AH192" s="6753"/>
      <c r="AI192" s="6753"/>
      <c r="AJ192" s="6753"/>
      <c r="AK192" s="6753"/>
      <c r="AL192" s="6752"/>
      <c r="AM192" s="6753"/>
      <c r="AN192" s="6753"/>
      <c r="AO192" s="6753"/>
      <c r="AP192" s="6753"/>
      <c r="AQ192" s="6753"/>
      <c r="AR192" s="6753"/>
      <c r="AS192" s="6754"/>
      <c r="AT192" s="6752"/>
      <c r="AU192" s="6753"/>
      <c r="AV192" s="6753"/>
      <c r="AW192" s="6753"/>
      <c r="AX192" s="6753"/>
      <c r="AY192" s="6753"/>
      <c r="AZ192" s="6753"/>
      <c r="BA192" s="6754"/>
      <c r="BB192" s="6752"/>
      <c r="BC192" s="6753"/>
      <c r="BD192" s="6753"/>
      <c r="BE192" s="6753"/>
      <c r="BF192" s="6753"/>
      <c r="BG192" s="6753"/>
      <c r="BH192" s="6753"/>
      <c r="BI192" s="6754"/>
      <c r="BJ192" s="6752"/>
      <c r="BK192" s="6753"/>
      <c r="BL192" s="6753"/>
      <c r="BM192" s="6753"/>
      <c r="BN192" s="6753"/>
      <c r="BO192" s="6753"/>
      <c r="BP192" s="6753"/>
      <c r="BQ192" s="6754"/>
      <c r="BR192" s="6752"/>
      <c r="BS192" s="6753"/>
      <c r="BT192" s="6753"/>
      <c r="BU192" s="6753"/>
      <c r="BV192" s="6753"/>
      <c r="BW192" s="6753"/>
      <c r="BX192" s="6753"/>
      <c r="BY192" s="6754"/>
      <c r="BZ192" s="6754"/>
      <c r="CA192" s="2344" t="s">
        <v>528</v>
      </c>
      <c r="CB192" s="2211"/>
      <c r="CC192" s="2345"/>
      <c r="CD192" s="2345" t="str">
        <f t="shared" si="5"/>
        <v>Группа потребителей</v>
      </c>
      <c r="CE192" s="2345"/>
      <c r="CF192" s="2345"/>
    </row>
    <row r="193" spans="1:84" s="4510" customFormat="1" ht="21" customHeight="1">
      <c r="A193" s="2335"/>
      <c r="B193" s="2335"/>
      <c r="C193" s="2335"/>
      <c r="D193" s="2335"/>
      <c r="E193" s="6764"/>
      <c r="F193" s="6764" t="s">
        <v>147</v>
      </c>
      <c r="G193" s="6764"/>
      <c r="H193" s="6764"/>
      <c r="I193" s="6784"/>
      <c r="J193" s="6784"/>
      <c r="K193" s="6761" t="str">
        <f>J192&amp;".1"</f>
        <v>1.13.1.1.1.1.1</v>
      </c>
      <c r="L193" s="2336" t="s">
        <v>529</v>
      </c>
      <c r="M193" s="2205"/>
      <c r="N193" s="2205"/>
      <c r="O193" s="2205"/>
      <c r="P193" s="6762"/>
      <c r="Q193" s="6762"/>
      <c r="R193" s="2357">
        <v>1</v>
      </c>
      <c r="S193" s="2341" t="str">
        <f>$K193</f>
        <v>1.13.1.1.1.1.1</v>
      </c>
      <c r="T193" s="2360" t="s">
        <v>567</v>
      </c>
      <c r="U193" s="2343"/>
      <c r="V193" s="2763"/>
      <c r="W193" s="2763"/>
      <c r="X193" s="2763"/>
      <c r="Y193" s="2764"/>
      <c r="Z193" s="6768"/>
      <c r="AA193" s="6769" t="s">
        <v>61</v>
      </c>
      <c r="AB193" s="6768"/>
      <c r="AC193" s="6769" t="s">
        <v>61</v>
      </c>
      <c r="AD193" s="2078">
        <v>2418.8200000000002</v>
      </c>
      <c r="AE193" s="2079"/>
      <c r="AF193" s="2078"/>
      <c r="AG193" s="2080"/>
      <c r="AH193" s="6766">
        <v>45292.710636574076</v>
      </c>
      <c r="AI193" s="6610" t="s">
        <v>61</v>
      </c>
      <c r="AJ193" s="6766">
        <v>45838.710740740738</v>
      </c>
      <c r="AK193" s="6610" t="s">
        <v>61</v>
      </c>
      <c r="AL193" s="2078">
        <v>2684.86</v>
      </c>
      <c r="AM193" s="2079"/>
      <c r="AN193" s="2078"/>
      <c r="AO193" s="2080"/>
      <c r="AP193" s="6766">
        <v>45839.711053240739</v>
      </c>
      <c r="AQ193" s="6610" t="s">
        <v>61</v>
      </c>
      <c r="AR193" s="6766">
        <v>46203.711273148147</v>
      </c>
      <c r="AS193" s="6610" t="s">
        <v>61</v>
      </c>
      <c r="AT193" s="2078">
        <v>2777.98</v>
      </c>
      <c r="AU193" s="2079"/>
      <c r="AV193" s="2078"/>
      <c r="AW193" s="2080"/>
      <c r="AX193" s="6766">
        <v>46204.711527777778</v>
      </c>
      <c r="AY193" s="6610" t="s">
        <v>61</v>
      </c>
      <c r="AZ193" s="6766">
        <v>46568.711678240739</v>
      </c>
      <c r="BA193" s="6610" t="s">
        <v>61</v>
      </c>
      <c r="BB193" s="2078">
        <v>2871.12</v>
      </c>
      <c r="BC193" s="2079"/>
      <c r="BD193" s="2078"/>
      <c r="BE193" s="2080"/>
      <c r="BF193" s="6766">
        <v>46569.711898148147</v>
      </c>
      <c r="BG193" s="6610" t="s">
        <v>61</v>
      </c>
      <c r="BH193" s="6766">
        <v>46934.71234953704</v>
      </c>
      <c r="BI193" s="6610" t="s">
        <v>61</v>
      </c>
      <c r="BJ193" s="2078">
        <v>2967.53</v>
      </c>
      <c r="BK193" s="2079"/>
      <c r="BL193" s="2078"/>
      <c r="BM193" s="2080"/>
      <c r="BN193" s="6766">
        <v>46935.712789351855</v>
      </c>
      <c r="BO193" s="6610" t="s">
        <v>61</v>
      </c>
      <c r="BP193" s="6766">
        <v>47118.712939814817</v>
      </c>
      <c r="BQ193" s="6610" t="s">
        <v>56</v>
      </c>
      <c r="BR193" s="2763"/>
      <c r="BS193" s="2763"/>
      <c r="BT193" s="2763"/>
      <c r="BU193" s="2764"/>
      <c r="BV193" s="6768"/>
      <c r="BW193" s="6769" t="s">
        <v>61</v>
      </c>
      <c r="BX193" s="6768"/>
      <c r="BY193" s="6769" t="s">
        <v>61</v>
      </c>
      <c r="BZ193" s="2079"/>
      <c r="CA193" s="6758" t="s">
        <v>530</v>
      </c>
      <c r="CB193" s="2211" t="e">
        <f ca="1">STRCHECKDATE(V194:BZ194)</f>
        <v>#NAME?</v>
      </c>
      <c r="CC193" s="2345"/>
      <c r="CD193" s="2345" t="str">
        <f t="shared" si="5"/>
        <v>вода</v>
      </c>
      <c r="CE193" s="2345"/>
      <c r="CF193" s="2345"/>
    </row>
    <row r="194" spans="1:84" s="4511" customFormat="1" ht="0.75" customHeight="1">
      <c r="A194" s="2335"/>
      <c r="B194" s="2335"/>
      <c r="C194" s="2335"/>
      <c r="D194" s="2335"/>
      <c r="E194" s="6764"/>
      <c r="F194" s="6764" t="s">
        <v>147</v>
      </c>
      <c r="G194" s="6764"/>
      <c r="H194" s="6764"/>
      <c r="I194" s="6784"/>
      <c r="J194" s="6784"/>
      <c r="K194" s="6761"/>
      <c r="L194" s="2336"/>
      <c r="M194" s="2205"/>
      <c r="N194" s="2205"/>
      <c r="O194" s="2205"/>
      <c r="P194" s="6762"/>
      <c r="Q194" s="6762"/>
      <c r="R194" s="2357"/>
      <c r="S194" s="2362"/>
      <c r="T194" s="2343"/>
      <c r="U194" s="2343"/>
      <c r="V194" s="2763"/>
      <c r="W194" s="2763"/>
      <c r="X194" s="2763"/>
      <c r="Y194" s="2082" t="str">
        <f>Z193&amp;"-"&amp;AB193</f>
        <v>-</v>
      </c>
      <c r="Z194" s="6769"/>
      <c r="AA194" s="6769"/>
      <c r="AB194" s="6769"/>
      <c r="AC194" s="6769"/>
      <c r="AD194" s="2079"/>
      <c r="AE194" s="2079"/>
      <c r="AF194" s="2079"/>
      <c r="AG194" s="2082" t="str">
        <f>AH193&amp;"-"&amp;AJ193</f>
        <v>45292,710636574-45838,7107407407</v>
      </c>
      <c r="AH194" s="6767"/>
      <c r="AI194" s="6610"/>
      <c r="AJ194" s="6767"/>
      <c r="AK194" s="6610"/>
      <c r="AL194" s="2079"/>
      <c r="AM194" s="2079"/>
      <c r="AN194" s="2079"/>
      <c r="AO194" s="2082" t="str">
        <f>AP193&amp;"-"&amp;AR193</f>
        <v>45839,7110532407-46203,7112731481</v>
      </c>
      <c r="AP194" s="6767"/>
      <c r="AQ194" s="6610"/>
      <c r="AR194" s="6767"/>
      <c r="AS194" s="6610"/>
      <c r="AT194" s="2079"/>
      <c r="AU194" s="2079"/>
      <c r="AV194" s="2079"/>
      <c r="AW194" s="2082" t="str">
        <f>AX193&amp;"-"&amp;AZ193</f>
        <v>46204,7115277778-46568,7116782407</v>
      </c>
      <c r="AX194" s="6767"/>
      <c r="AY194" s="6610"/>
      <c r="AZ194" s="6767"/>
      <c r="BA194" s="6610"/>
      <c r="BB194" s="2079"/>
      <c r="BC194" s="2079"/>
      <c r="BD194" s="2079"/>
      <c r="BE194" s="2082" t="str">
        <f>BF193&amp;"-"&amp;BH193</f>
        <v>46569,7118981481-46934,712349537</v>
      </c>
      <c r="BF194" s="6767"/>
      <c r="BG194" s="6610"/>
      <c r="BH194" s="6767"/>
      <c r="BI194" s="6610"/>
      <c r="BJ194" s="2079"/>
      <c r="BK194" s="2079"/>
      <c r="BL194" s="2079"/>
      <c r="BM194" s="2082" t="str">
        <f>BN193&amp;"-"&amp;BP193</f>
        <v>46935,7127893519-47118,7129398148</v>
      </c>
      <c r="BN194" s="6767"/>
      <c r="BO194" s="6610"/>
      <c r="BP194" s="6767"/>
      <c r="BQ194" s="6610"/>
      <c r="BR194" s="2763"/>
      <c r="BS194" s="2763"/>
      <c r="BT194" s="2763"/>
      <c r="BU194" s="2082" t="str">
        <f>BV193&amp;"-"&amp;BX193</f>
        <v>-</v>
      </c>
      <c r="BV194" s="6769"/>
      <c r="BW194" s="6769"/>
      <c r="BX194" s="6769"/>
      <c r="BY194" s="6769"/>
      <c r="BZ194" s="2079"/>
      <c r="CA194" s="6759"/>
      <c r="CB194" s="2211"/>
      <c r="CC194" s="2345"/>
      <c r="CD194" s="2345" t="str">
        <f t="shared" si="5"/>
        <v/>
      </c>
      <c r="CE194" s="2345"/>
      <c r="CF194" s="2345"/>
    </row>
    <row r="195" spans="1:84" s="4512" customFormat="1" ht="15" customHeight="1">
      <c r="A195" s="2335"/>
      <c r="B195" s="2335"/>
      <c r="C195" s="2335"/>
      <c r="D195" s="2335"/>
      <c r="E195" s="6764"/>
      <c r="F195" s="6764" t="s">
        <v>147</v>
      </c>
      <c r="G195" s="6764"/>
      <c r="H195" s="6764"/>
      <c r="I195" s="6784"/>
      <c r="J195" s="6761"/>
      <c r="K195" s="2335"/>
      <c r="L195" s="2336"/>
      <c r="M195" s="2205"/>
      <c r="N195" s="2205"/>
      <c r="O195" s="2352"/>
      <c r="P195" s="6762"/>
      <c r="Q195" s="6762"/>
      <c r="R195" s="2354"/>
      <c r="S195" s="4513"/>
      <c r="T195" s="4514" t="s">
        <v>531</v>
      </c>
      <c r="U195" s="4515"/>
      <c r="V195" s="4516"/>
      <c r="W195" s="4517"/>
      <c r="X195" s="4518"/>
      <c r="Y195" s="4519"/>
      <c r="Z195" s="4520"/>
      <c r="AA195" s="4521"/>
      <c r="AB195" s="4522"/>
      <c r="AC195" s="4523"/>
      <c r="AD195" s="4524"/>
      <c r="AE195" s="4525"/>
      <c r="AF195" s="4526"/>
      <c r="AG195" s="4527"/>
      <c r="AH195" s="4528"/>
      <c r="AI195" s="4529"/>
      <c r="AJ195" s="4530"/>
      <c r="AK195" s="4531"/>
      <c r="AL195" s="4532"/>
      <c r="AM195" s="4533"/>
      <c r="AN195" s="4534"/>
      <c r="AO195" s="4535"/>
      <c r="AP195" s="4536"/>
      <c r="AQ195" s="4537"/>
      <c r="AR195" s="4538"/>
      <c r="AS195" s="4539"/>
      <c r="AT195" s="4540"/>
      <c r="AU195" s="4541"/>
      <c r="AV195" s="4542"/>
      <c r="AW195" s="4543"/>
      <c r="AX195" s="4544"/>
      <c r="AY195" s="4545"/>
      <c r="AZ195" s="4546"/>
      <c r="BA195" s="4547"/>
      <c r="BB195" s="4548"/>
      <c r="BC195" s="4549"/>
      <c r="BD195" s="4550"/>
      <c r="BE195" s="4551"/>
      <c r="BF195" s="4552"/>
      <c r="BG195" s="4553"/>
      <c r="BH195" s="4554"/>
      <c r="BI195" s="4555"/>
      <c r="BJ195" s="4556"/>
      <c r="BK195" s="4557"/>
      <c r="BL195" s="4558"/>
      <c r="BM195" s="4559"/>
      <c r="BN195" s="4560"/>
      <c r="BO195" s="4561"/>
      <c r="BP195" s="4562"/>
      <c r="BQ195" s="4563"/>
      <c r="BR195" s="4564"/>
      <c r="BS195" s="4565"/>
      <c r="BT195" s="4566"/>
      <c r="BU195" s="4567"/>
      <c r="BV195" s="4568"/>
      <c r="BW195" s="4569"/>
      <c r="BX195" s="4570"/>
      <c r="BY195" s="4571"/>
      <c r="BZ195" s="4572"/>
      <c r="CA195" s="6760"/>
      <c r="CB195" s="2211"/>
      <c r="CC195" s="2345"/>
      <c r="CD195" s="2345" t="str">
        <f t="shared" si="5"/>
        <v>Добавить вид теплоносителя (параметры теплоносителя)</v>
      </c>
      <c r="CE195" s="2345"/>
      <c r="CF195" s="2345"/>
    </row>
    <row r="196" spans="1:84" s="4573" customFormat="1" ht="15" customHeight="1">
      <c r="A196" s="2335"/>
      <c r="B196" s="2335"/>
      <c r="C196" s="2335"/>
      <c r="D196" s="2335"/>
      <c r="E196" s="6764"/>
      <c r="F196" s="6764" t="s">
        <v>147</v>
      </c>
      <c r="G196" s="6764"/>
      <c r="H196" s="6764"/>
      <c r="I196" s="6761"/>
      <c r="J196" s="2335"/>
      <c r="K196" s="2335"/>
      <c r="L196" s="2336"/>
      <c r="M196" s="2205"/>
      <c r="N196" s="2352"/>
      <c r="O196" s="2352"/>
      <c r="P196" s="6762"/>
      <c r="Q196" s="2353"/>
      <c r="R196" s="2354"/>
      <c r="S196" s="4574"/>
      <c r="T196" s="4575" t="s">
        <v>532</v>
      </c>
      <c r="U196" s="4576"/>
      <c r="V196" s="4577"/>
      <c r="W196" s="4578"/>
      <c r="X196" s="4579"/>
      <c r="Y196" s="4580"/>
      <c r="Z196" s="4581"/>
      <c r="AA196" s="4582"/>
      <c r="AB196" s="4583"/>
      <c r="AC196" s="4584"/>
      <c r="AD196" s="4585"/>
      <c r="AE196" s="4586"/>
      <c r="AF196" s="4587"/>
      <c r="AG196" s="4588"/>
      <c r="AH196" s="4589"/>
      <c r="AI196" s="4590"/>
      <c r="AJ196" s="4591"/>
      <c r="AK196" s="4592"/>
      <c r="AL196" s="4593"/>
      <c r="AM196" s="4594"/>
      <c r="AN196" s="4595"/>
      <c r="AO196" s="4596"/>
      <c r="AP196" s="4597"/>
      <c r="AQ196" s="4598"/>
      <c r="AR196" s="4599"/>
      <c r="AS196" s="4600"/>
      <c r="AT196" s="4601"/>
      <c r="AU196" s="4602"/>
      <c r="AV196" s="4603"/>
      <c r="AW196" s="4604"/>
      <c r="AX196" s="4605"/>
      <c r="AY196" s="4606"/>
      <c r="AZ196" s="4607"/>
      <c r="BA196" s="4608"/>
      <c r="BB196" s="4609"/>
      <c r="BC196" s="4610"/>
      <c r="BD196" s="4611"/>
      <c r="BE196" s="4612"/>
      <c r="BF196" s="4613"/>
      <c r="BG196" s="4614"/>
      <c r="BH196" s="4615"/>
      <c r="BI196" s="4616"/>
      <c r="BJ196" s="4617"/>
      <c r="BK196" s="4618"/>
      <c r="BL196" s="4619"/>
      <c r="BM196" s="4620"/>
      <c r="BN196" s="4621"/>
      <c r="BO196" s="4622"/>
      <c r="BP196" s="4623"/>
      <c r="BQ196" s="4624"/>
      <c r="BR196" s="4625"/>
      <c r="BS196" s="4626"/>
      <c r="BT196" s="4627"/>
      <c r="BU196" s="4628"/>
      <c r="BV196" s="4629"/>
      <c r="BW196" s="4630"/>
      <c r="BX196" s="4631"/>
      <c r="BY196" s="4632"/>
      <c r="BZ196" s="4633"/>
      <c r="CA196" s="4634"/>
      <c r="CB196" s="2211"/>
      <c r="CC196" s="2345"/>
      <c r="CD196" s="2345" t="str">
        <f t="shared" si="5"/>
        <v>Добавить группу потребителей</v>
      </c>
      <c r="CE196" s="2345"/>
      <c r="CF196" s="2345"/>
    </row>
    <row r="197" spans="1:84" s="4635" customFormat="1" ht="14.25" customHeight="1">
      <c r="A197" s="2335"/>
      <c r="B197" s="2335"/>
      <c r="C197" s="2335"/>
      <c r="D197" s="2335"/>
      <c r="E197" s="6764"/>
      <c r="F197" s="6764" t="s">
        <v>147</v>
      </c>
      <c r="G197" s="6764"/>
      <c r="H197" s="6763"/>
      <c r="I197" s="2335"/>
      <c r="J197" s="2335"/>
      <c r="K197" s="2335"/>
      <c r="L197" s="2336"/>
      <c r="M197" s="2337"/>
      <c r="N197" s="2337"/>
      <c r="O197" s="2205"/>
      <c r="P197" s="2487"/>
      <c r="Q197" s="2488"/>
      <c r="R197" s="2489"/>
      <c r="S197" s="4636"/>
      <c r="T197" s="4637" t="s">
        <v>533</v>
      </c>
      <c r="U197" s="4638"/>
      <c r="V197" s="4639"/>
      <c r="W197" s="4640"/>
      <c r="X197" s="4641"/>
      <c r="Y197" s="4642"/>
      <c r="Z197" s="4643"/>
      <c r="AA197" s="4644"/>
      <c r="AB197" s="4645"/>
      <c r="AC197" s="4646"/>
      <c r="AD197" s="4647"/>
      <c r="AE197" s="4648"/>
      <c r="AF197" s="4649"/>
      <c r="AG197" s="4650"/>
      <c r="AH197" s="4651"/>
      <c r="AI197" s="4652"/>
      <c r="AJ197" s="4653"/>
      <c r="AK197" s="4654"/>
      <c r="AL197" s="4655"/>
      <c r="AM197" s="4656"/>
      <c r="AN197" s="4657"/>
      <c r="AO197" s="4658"/>
      <c r="AP197" s="4659"/>
      <c r="AQ197" s="4660"/>
      <c r="AR197" s="4661"/>
      <c r="AS197" s="4662"/>
      <c r="AT197" s="4663"/>
      <c r="AU197" s="4664"/>
      <c r="AV197" s="4665"/>
      <c r="AW197" s="4666"/>
      <c r="AX197" s="4667"/>
      <c r="AY197" s="4668"/>
      <c r="AZ197" s="4669"/>
      <c r="BA197" s="4670"/>
      <c r="BB197" s="4671"/>
      <c r="BC197" s="4672"/>
      <c r="BD197" s="4673"/>
      <c r="BE197" s="4674"/>
      <c r="BF197" s="4675"/>
      <c r="BG197" s="4676"/>
      <c r="BH197" s="4677"/>
      <c r="BI197" s="4678"/>
      <c r="BJ197" s="4679"/>
      <c r="BK197" s="4680"/>
      <c r="BL197" s="4681"/>
      <c r="BM197" s="4682"/>
      <c r="BN197" s="4683"/>
      <c r="BO197" s="4684"/>
      <c r="BP197" s="4685"/>
      <c r="BQ197" s="4686"/>
      <c r="BR197" s="4687"/>
      <c r="BS197" s="4688"/>
      <c r="BT197" s="4689"/>
      <c r="BU197" s="4690"/>
      <c r="BV197" s="4691"/>
      <c r="BW197" s="4692"/>
      <c r="BX197" s="4693"/>
      <c r="BY197" s="4694"/>
      <c r="BZ197" s="4695"/>
      <c r="CA197" s="4696"/>
      <c r="CB197" s="2211"/>
      <c r="CC197" s="2345"/>
      <c r="CD197" s="2345" t="str">
        <f t="shared" si="5"/>
        <v>Добавить схему подключения</v>
      </c>
      <c r="CE197" s="2345"/>
      <c r="CF197" s="2345"/>
    </row>
    <row r="198" spans="1:84" s="4697" customFormat="1" ht="0.75" customHeight="1">
      <c r="A198" s="2552"/>
      <c r="B198" s="2552"/>
      <c r="C198" s="2552"/>
      <c r="D198" s="2552"/>
      <c r="E198" s="6764"/>
      <c r="F198" s="6764" t="s">
        <v>147</v>
      </c>
      <c r="G198" s="6763"/>
      <c r="H198" s="2552"/>
      <c r="I198" s="2552"/>
      <c r="J198" s="2552"/>
      <c r="K198" s="2552"/>
      <c r="L198" s="2553"/>
      <c r="M198" s="2554"/>
      <c r="N198" s="2554"/>
      <c r="O198" s="2211"/>
      <c r="P198" s="2555"/>
      <c r="Q198" s="2556"/>
      <c r="R198" s="2555"/>
      <c r="S198" s="2557"/>
      <c r="T198" s="2558" t="s">
        <v>228</v>
      </c>
      <c r="U198" s="2203"/>
      <c r="V198" s="2203"/>
      <c r="W198" s="2203"/>
      <c r="X198" s="2203"/>
      <c r="Y198" s="2203"/>
      <c r="Z198" s="2203"/>
      <c r="AA198" s="2203"/>
      <c r="AB198" s="2203"/>
      <c r="AC198" s="2203"/>
      <c r="AD198" s="2203"/>
      <c r="AE198" s="2203"/>
      <c r="AF198" s="2203"/>
      <c r="AG198" s="2203"/>
      <c r="AH198" s="2203"/>
      <c r="AI198" s="2203"/>
      <c r="AJ198" s="2203"/>
      <c r="AK198" s="2203"/>
      <c r="AL198" s="2203"/>
      <c r="AM198" s="2203"/>
      <c r="AN198" s="2203"/>
      <c r="AO198" s="2203"/>
      <c r="AP198" s="2203"/>
      <c r="AQ198" s="2203"/>
      <c r="AR198" s="2203"/>
      <c r="AS198" s="2203"/>
      <c r="AT198" s="2203"/>
      <c r="AU198" s="2203"/>
      <c r="AV198" s="2203"/>
      <c r="AW198" s="2203"/>
      <c r="AX198" s="2203"/>
      <c r="AY198" s="2203"/>
      <c r="AZ198" s="2203"/>
      <c r="BA198" s="2203"/>
      <c r="BB198" s="2203"/>
      <c r="BC198" s="2203"/>
      <c r="BD198" s="2203"/>
      <c r="BE198" s="2203"/>
      <c r="BF198" s="2203"/>
      <c r="BG198" s="2203"/>
      <c r="BH198" s="2203"/>
      <c r="BI198" s="2203"/>
      <c r="BJ198" s="2203"/>
      <c r="BK198" s="2203"/>
      <c r="BL198" s="2203"/>
      <c r="BM198" s="2203"/>
      <c r="BN198" s="2203"/>
      <c r="BO198" s="2203"/>
      <c r="BP198" s="2203"/>
      <c r="BQ198" s="2203"/>
      <c r="BR198" s="2203"/>
      <c r="BS198" s="2203"/>
      <c r="BT198" s="2203"/>
      <c r="BU198" s="2203"/>
      <c r="BV198" s="2203"/>
      <c r="BW198" s="2203"/>
      <c r="BX198" s="2203"/>
      <c r="BY198" s="2203"/>
      <c r="BZ198" s="2203"/>
      <c r="CA198" s="2203"/>
      <c r="CB198" s="2211"/>
      <c r="CC198" s="2345"/>
      <c r="CD198" s="2345" t="str">
        <f t="shared" si="5"/>
        <v>Добавить источник для дифференциации</v>
      </c>
      <c r="CE198" s="2345"/>
      <c r="CF198" s="2345"/>
    </row>
    <row r="199" spans="1:84" s="4698" customFormat="1" ht="0.75" customHeight="1">
      <c r="A199" s="2552"/>
      <c r="B199" s="2552"/>
      <c r="C199" s="2552"/>
      <c r="D199" s="2552"/>
      <c r="E199" s="6764"/>
      <c r="F199" s="6763" t="s">
        <v>147</v>
      </c>
      <c r="G199" s="2552"/>
      <c r="H199" s="2552"/>
      <c r="I199" s="2552"/>
      <c r="J199" s="2552"/>
      <c r="K199" s="2552"/>
      <c r="L199" s="2553"/>
      <c r="M199" s="2560"/>
      <c r="N199" s="2560"/>
      <c r="O199" s="2211"/>
      <c r="P199" s="2555"/>
      <c r="Q199" s="2556"/>
      <c r="R199" s="2555"/>
      <c r="S199" s="2561"/>
      <c r="T199" s="2562" t="s">
        <v>229</v>
      </c>
      <c r="U199" s="2204"/>
      <c r="V199" s="2204"/>
      <c r="W199" s="2204"/>
      <c r="X199" s="2204"/>
      <c r="Y199" s="2204"/>
      <c r="Z199" s="2204"/>
      <c r="AA199" s="2204"/>
      <c r="AB199" s="2204"/>
      <c r="AC199" s="2204"/>
      <c r="AD199" s="2204"/>
      <c r="AE199" s="2204"/>
      <c r="AF199" s="2204"/>
      <c r="AG199" s="2204"/>
      <c r="AH199" s="2204"/>
      <c r="AI199" s="2204"/>
      <c r="AJ199" s="2204"/>
      <c r="AK199" s="2204"/>
      <c r="AL199" s="2204"/>
      <c r="AM199" s="2204"/>
      <c r="AN199" s="2204"/>
      <c r="AO199" s="2204"/>
      <c r="AP199" s="2204"/>
      <c r="AQ199" s="2204"/>
      <c r="AR199" s="2204"/>
      <c r="AS199" s="2204"/>
      <c r="AT199" s="2204"/>
      <c r="AU199" s="2204"/>
      <c r="AV199" s="2204"/>
      <c r="AW199" s="2204"/>
      <c r="AX199" s="2204"/>
      <c r="AY199" s="2204"/>
      <c r="AZ199" s="2204"/>
      <c r="BA199" s="2204"/>
      <c r="BB199" s="2204"/>
      <c r="BC199" s="2204"/>
      <c r="BD199" s="2204"/>
      <c r="BE199" s="2204"/>
      <c r="BF199" s="2204"/>
      <c r="BG199" s="2204"/>
      <c r="BH199" s="2204"/>
      <c r="BI199" s="2204"/>
      <c r="BJ199" s="2204"/>
      <c r="BK199" s="2204"/>
      <c r="BL199" s="2204"/>
      <c r="BM199" s="2204"/>
      <c r="BN199" s="2204"/>
      <c r="BO199" s="2204"/>
      <c r="BP199" s="2204"/>
      <c r="BQ199" s="2204"/>
      <c r="BR199" s="2204"/>
      <c r="BS199" s="2204"/>
      <c r="BT199" s="2204"/>
      <c r="BU199" s="2204"/>
      <c r="BV199" s="2204"/>
      <c r="BW199" s="2204"/>
      <c r="BX199" s="2204"/>
      <c r="BY199" s="2204"/>
      <c r="BZ199" s="2204"/>
      <c r="CA199" s="2204"/>
      <c r="CB199" s="2211"/>
      <c r="CC199" s="2345"/>
      <c r="CD199" s="2345" t="str">
        <f t="shared" si="5"/>
        <v>Добавить централизованную систему для дифференциации</v>
      </c>
      <c r="CE199" s="2345"/>
      <c r="CF199" s="2345"/>
    </row>
    <row r="200" spans="1:84" s="4699" customFormat="1" ht="21" customHeight="1">
      <c r="A200" s="2335"/>
      <c r="B200" s="2335" t="s">
        <v>266</v>
      </c>
      <c r="C200" s="2335"/>
      <c r="D200" s="2335"/>
      <c r="E200" s="6764"/>
      <c r="F200" s="6763" t="s">
        <v>157</v>
      </c>
      <c r="G200" s="2335"/>
      <c r="H200" s="2335"/>
      <c r="I200" s="2335"/>
      <c r="J200" s="2335"/>
      <c r="K200" s="2335"/>
      <c r="L200" s="2336"/>
      <c r="M200" s="2337"/>
      <c r="N200" s="2337"/>
      <c r="O200" s="2337"/>
      <c r="P200" s="2338"/>
      <c r="Q200" s="2339"/>
      <c r="R200" s="2340"/>
      <c r="S200" s="2341" t="str">
        <f>INDEX(PT_DIFFERENTIATION_NUM_TER,MATCH(B200,PT_DIFFERENTIATION_TER_ID,0))</f>
        <v>1.14</v>
      </c>
      <c r="T200" s="2342" t="s">
        <v>517</v>
      </c>
      <c r="U200" s="2343"/>
      <c r="V200" s="6749"/>
      <c r="W200" s="6750"/>
      <c r="X200" s="6750"/>
      <c r="Y200" s="6750"/>
      <c r="Z200" s="6750"/>
      <c r="AA200" s="6750"/>
      <c r="AB200" s="6750"/>
      <c r="AC200" s="6751"/>
      <c r="AD200" s="6749" t="str">
        <f>INDEX(PT_DIFFERENTIATION_TER,MATCH(B200,PT_DIFFERENTIATION_TER_ID,0))</f>
        <v>Территория 13</v>
      </c>
      <c r="AE200" s="6750"/>
      <c r="AF200" s="6750"/>
      <c r="AG200" s="6750"/>
      <c r="AH200" s="6750"/>
      <c r="AI200" s="6750"/>
      <c r="AJ200" s="6750"/>
      <c r="AK200" s="6750"/>
      <c r="AL200" s="6749"/>
      <c r="AM200" s="6750"/>
      <c r="AN200" s="6750"/>
      <c r="AO200" s="6750"/>
      <c r="AP200" s="6750"/>
      <c r="AQ200" s="6750"/>
      <c r="AR200" s="6750"/>
      <c r="AS200" s="6751"/>
      <c r="AT200" s="6749"/>
      <c r="AU200" s="6750"/>
      <c r="AV200" s="6750"/>
      <c r="AW200" s="6750"/>
      <c r="AX200" s="6750"/>
      <c r="AY200" s="6750"/>
      <c r="AZ200" s="6750"/>
      <c r="BA200" s="6751"/>
      <c r="BB200" s="6749"/>
      <c r="BC200" s="6750"/>
      <c r="BD200" s="6750"/>
      <c r="BE200" s="6750"/>
      <c r="BF200" s="6750"/>
      <c r="BG200" s="6750"/>
      <c r="BH200" s="6750"/>
      <c r="BI200" s="6751"/>
      <c r="BJ200" s="6749"/>
      <c r="BK200" s="6750"/>
      <c r="BL200" s="6750"/>
      <c r="BM200" s="6750"/>
      <c r="BN200" s="6750"/>
      <c r="BO200" s="6750"/>
      <c r="BP200" s="6750"/>
      <c r="BQ200" s="6751"/>
      <c r="BR200" s="6749"/>
      <c r="BS200" s="6750"/>
      <c r="BT200" s="6750"/>
      <c r="BU200" s="6750"/>
      <c r="BV200" s="6750"/>
      <c r="BW200" s="6750"/>
      <c r="BX200" s="6750"/>
      <c r="BY200" s="6751"/>
      <c r="BZ200" s="6751"/>
      <c r="CA200" s="2344" t="s">
        <v>518</v>
      </c>
      <c r="CB200" s="2211"/>
      <c r="CC200" s="2345"/>
      <c r="CD200" s="2345" t="str">
        <f t="shared" si="5"/>
        <v>Территория действия тарифа</v>
      </c>
      <c r="CE200" s="2345"/>
      <c r="CF200" s="2345"/>
    </row>
    <row r="201" spans="1:84" s="4700" customFormat="1" ht="23.25" customHeight="1">
      <c r="A201" s="2335"/>
      <c r="B201" s="2335"/>
      <c r="C201" s="2335" t="s">
        <v>267</v>
      </c>
      <c r="D201" s="2335"/>
      <c r="E201" s="6764"/>
      <c r="F201" s="6764" t="s">
        <v>152</v>
      </c>
      <c r="G201" s="6763">
        <v>1</v>
      </c>
      <c r="H201" s="2335"/>
      <c r="I201" s="2335"/>
      <c r="J201" s="2335"/>
      <c r="K201" s="2335"/>
      <c r="L201" s="2336"/>
      <c r="M201" s="2337"/>
      <c r="N201" s="2337"/>
      <c r="O201" s="2337"/>
      <c r="P201" s="2347"/>
      <c r="Q201" s="2339"/>
      <c r="R201" s="2340"/>
      <c r="S201" s="2341" t="str">
        <f>INDEX(PT_DIFFERENTIATION_NUM_CS,MATCH(C201,PT_DIFFERENTIATION_CS_ID,0))</f>
        <v>1.14.1</v>
      </c>
      <c r="T201" s="2348" t="s">
        <v>519</v>
      </c>
      <c r="U201" s="2343"/>
      <c r="V201" s="6749"/>
      <c r="W201" s="6750"/>
      <c r="X201" s="6750"/>
      <c r="Y201" s="6750"/>
      <c r="Z201" s="6750"/>
      <c r="AA201" s="6750"/>
      <c r="AB201" s="6750"/>
      <c r="AC201" s="6751"/>
      <c r="AD201" s="6749" t="str">
        <f>INDEX(PT_DIFFERENTIATION_CS,MATCH(C201,PT_DIFFERENTIATION_CS_ID,0))</f>
        <v>без дифференциации</v>
      </c>
      <c r="AE201" s="6750"/>
      <c r="AF201" s="6750"/>
      <c r="AG201" s="6750"/>
      <c r="AH201" s="6750"/>
      <c r="AI201" s="6750"/>
      <c r="AJ201" s="6750"/>
      <c r="AK201" s="6750"/>
      <c r="AL201" s="6749"/>
      <c r="AM201" s="6750"/>
      <c r="AN201" s="6750"/>
      <c r="AO201" s="6750"/>
      <c r="AP201" s="6750"/>
      <c r="AQ201" s="6750"/>
      <c r="AR201" s="6750"/>
      <c r="AS201" s="6751"/>
      <c r="AT201" s="6749"/>
      <c r="AU201" s="6750"/>
      <c r="AV201" s="6750"/>
      <c r="AW201" s="6750"/>
      <c r="AX201" s="6750"/>
      <c r="AY201" s="6750"/>
      <c r="AZ201" s="6750"/>
      <c r="BA201" s="6751"/>
      <c r="BB201" s="6749"/>
      <c r="BC201" s="6750"/>
      <c r="BD201" s="6750"/>
      <c r="BE201" s="6750"/>
      <c r="BF201" s="6750"/>
      <c r="BG201" s="6750"/>
      <c r="BH201" s="6750"/>
      <c r="BI201" s="6751"/>
      <c r="BJ201" s="6749"/>
      <c r="BK201" s="6750"/>
      <c r="BL201" s="6750"/>
      <c r="BM201" s="6750"/>
      <c r="BN201" s="6750"/>
      <c r="BO201" s="6750"/>
      <c r="BP201" s="6750"/>
      <c r="BQ201" s="6751"/>
      <c r="BR201" s="6749"/>
      <c r="BS201" s="6750"/>
      <c r="BT201" s="6750"/>
      <c r="BU201" s="6750"/>
      <c r="BV201" s="6750"/>
      <c r="BW201" s="6750"/>
      <c r="BX201" s="6750"/>
      <c r="BY201" s="6751"/>
      <c r="BZ201" s="6751"/>
      <c r="CA201" s="2344" t="s">
        <v>520</v>
      </c>
      <c r="CB201" s="2211"/>
      <c r="CC201" s="2345"/>
      <c r="CD201" s="2345" t="str">
        <f t="shared" si="5"/>
        <v xml:space="preserve">Наименование системы теплоснабжения </v>
      </c>
      <c r="CE201" s="2345"/>
      <c r="CF201" s="2345"/>
    </row>
    <row r="202" spans="1:84" s="4701" customFormat="1" ht="21" customHeight="1">
      <c r="A202" s="2335"/>
      <c r="B202" s="2335"/>
      <c r="C202" s="2335"/>
      <c r="D202" s="2335" t="s">
        <v>268</v>
      </c>
      <c r="E202" s="6764"/>
      <c r="F202" s="6764" t="s">
        <v>152</v>
      </c>
      <c r="G202" s="6764"/>
      <c r="H202" s="6763">
        <v>1</v>
      </c>
      <c r="I202" s="2335"/>
      <c r="J202" s="2335"/>
      <c r="K202" s="2335"/>
      <c r="L202" s="2336"/>
      <c r="M202" s="2337"/>
      <c r="N202" s="2337"/>
      <c r="O202" s="2337"/>
      <c r="P202" s="2347"/>
      <c r="Q202" s="2339"/>
      <c r="R202" s="2340"/>
      <c r="S202" s="2341" t="str">
        <f>INDEX(PT_DIFFERENTIATION_NUM_IST_TE,MATCH(D202,PT_DIFFERENTIATION_IST_TE_ID,0))</f>
        <v>1.14.1.1</v>
      </c>
      <c r="T202" s="2350" t="s">
        <v>521</v>
      </c>
      <c r="U202" s="2343"/>
      <c r="V202" s="6749"/>
      <c r="W202" s="6750"/>
      <c r="X202" s="6750"/>
      <c r="Y202" s="6750"/>
      <c r="Z202" s="6750"/>
      <c r="AA202" s="6750"/>
      <c r="AB202" s="6750"/>
      <c r="AC202" s="6751"/>
      <c r="AD202" s="6749" t="str">
        <f>INDEX(PT_DIFFERENTIATION_IST_TE,MATCH(D202,PT_DIFFERENTIATION_IST_TE_ID,0))</f>
        <v>без дифференциации</v>
      </c>
      <c r="AE202" s="6750"/>
      <c r="AF202" s="6750"/>
      <c r="AG202" s="6750"/>
      <c r="AH202" s="6750"/>
      <c r="AI202" s="6750"/>
      <c r="AJ202" s="6750"/>
      <c r="AK202" s="6750"/>
      <c r="AL202" s="6749"/>
      <c r="AM202" s="6750"/>
      <c r="AN202" s="6750"/>
      <c r="AO202" s="6750"/>
      <c r="AP202" s="6750"/>
      <c r="AQ202" s="6750"/>
      <c r="AR202" s="6750"/>
      <c r="AS202" s="6751"/>
      <c r="AT202" s="6749"/>
      <c r="AU202" s="6750"/>
      <c r="AV202" s="6750"/>
      <c r="AW202" s="6750"/>
      <c r="AX202" s="6750"/>
      <c r="AY202" s="6750"/>
      <c r="AZ202" s="6750"/>
      <c r="BA202" s="6751"/>
      <c r="BB202" s="6749"/>
      <c r="BC202" s="6750"/>
      <c r="BD202" s="6750"/>
      <c r="BE202" s="6750"/>
      <c r="BF202" s="6750"/>
      <c r="BG202" s="6750"/>
      <c r="BH202" s="6750"/>
      <c r="BI202" s="6751"/>
      <c r="BJ202" s="6749"/>
      <c r="BK202" s="6750"/>
      <c r="BL202" s="6750"/>
      <c r="BM202" s="6750"/>
      <c r="BN202" s="6750"/>
      <c r="BO202" s="6750"/>
      <c r="BP202" s="6750"/>
      <c r="BQ202" s="6751"/>
      <c r="BR202" s="6749"/>
      <c r="BS202" s="6750"/>
      <c r="BT202" s="6750"/>
      <c r="BU202" s="6750"/>
      <c r="BV202" s="6750"/>
      <c r="BW202" s="6750"/>
      <c r="BX202" s="6750"/>
      <c r="BY202" s="6751"/>
      <c r="BZ202" s="6751"/>
      <c r="CA202" s="2344" t="s">
        <v>522</v>
      </c>
      <c r="CB202" s="2211"/>
      <c r="CC202" s="2345"/>
      <c r="CD202" s="2345" t="str">
        <f t="shared" si="5"/>
        <v xml:space="preserve">Источник тепловой энергии  </v>
      </c>
      <c r="CE202" s="2345"/>
      <c r="CF202" s="2345"/>
    </row>
    <row r="203" spans="1:84" s="4702" customFormat="1" ht="47.25" customHeight="1">
      <c r="A203" s="2335"/>
      <c r="B203" s="2335"/>
      <c r="C203" s="2335"/>
      <c r="D203" s="2335"/>
      <c r="E203" s="6764"/>
      <c r="F203" s="6764" t="s">
        <v>152</v>
      </c>
      <c r="G203" s="6764"/>
      <c r="H203" s="6764"/>
      <c r="I203" s="6761" t="str">
        <f>S202&amp;".1"</f>
        <v>1.14.1.1.1</v>
      </c>
      <c r="J203" s="2335"/>
      <c r="K203" s="2335"/>
      <c r="L203" s="2336" t="s">
        <v>523</v>
      </c>
      <c r="M203" s="2205"/>
      <c r="N203" s="2352"/>
      <c r="O203" s="2352"/>
      <c r="P203" s="6762">
        <v>1</v>
      </c>
      <c r="Q203" s="2353"/>
      <c r="R203" s="2354"/>
      <c r="S203" s="2341" t="str">
        <f>$I203</f>
        <v>1.14.1.1.1</v>
      </c>
      <c r="T203" s="2355" t="s">
        <v>524</v>
      </c>
      <c r="U203" s="2343"/>
      <c r="V203" s="6752"/>
      <c r="W203" s="6753"/>
      <c r="X203" s="6753"/>
      <c r="Y203" s="6753"/>
      <c r="Z203" s="6753"/>
      <c r="AA203" s="6753"/>
      <c r="AB203" s="6753"/>
      <c r="AC203" s="6754"/>
      <c r="AD203" s="6752" t="s">
        <v>566</v>
      </c>
      <c r="AE203" s="6753"/>
      <c r="AF203" s="6753"/>
      <c r="AG203" s="6753"/>
      <c r="AH203" s="6753"/>
      <c r="AI203" s="6753"/>
      <c r="AJ203" s="6753"/>
      <c r="AK203" s="6753"/>
      <c r="AL203" s="6752"/>
      <c r="AM203" s="6753"/>
      <c r="AN203" s="6753"/>
      <c r="AO203" s="6753"/>
      <c r="AP203" s="6753"/>
      <c r="AQ203" s="6753"/>
      <c r="AR203" s="6753"/>
      <c r="AS203" s="6754"/>
      <c r="AT203" s="6752"/>
      <c r="AU203" s="6753"/>
      <c r="AV203" s="6753"/>
      <c r="AW203" s="6753"/>
      <c r="AX203" s="6753"/>
      <c r="AY203" s="6753"/>
      <c r="AZ203" s="6753"/>
      <c r="BA203" s="6754"/>
      <c r="BB203" s="6752"/>
      <c r="BC203" s="6753"/>
      <c r="BD203" s="6753"/>
      <c r="BE203" s="6753"/>
      <c r="BF203" s="6753"/>
      <c r="BG203" s="6753"/>
      <c r="BH203" s="6753"/>
      <c r="BI203" s="6754"/>
      <c r="BJ203" s="6752"/>
      <c r="BK203" s="6753"/>
      <c r="BL203" s="6753"/>
      <c r="BM203" s="6753"/>
      <c r="BN203" s="6753"/>
      <c r="BO203" s="6753"/>
      <c r="BP203" s="6753"/>
      <c r="BQ203" s="6754"/>
      <c r="BR203" s="6752"/>
      <c r="BS203" s="6753"/>
      <c r="BT203" s="6753"/>
      <c r="BU203" s="6753"/>
      <c r="BV203" s="6753"/>
      <c r="BW203" s="6753"/>
      <c r="BX203" s="6753"/>
      <c r="BY203" s="6754"/>
      <c r="BZ203" s="6754"/>
      <c r="CA203" s="2344" t="s">
        <v>525</v>
      </c>
      <c r="CB203" s="2211"/>
      <c r="CC203" s="2345"/>
      <c r="CD203" s="2345" t="str">
        <f t="shared" ref="CD203:CD225" si="6">IF(T203="","",T203)</f>
        <v>Схема подключения теплопотребляющей установки к коллектору источника тепловой энергии</v>
      </c>
      <c r="CE203" s="2345"/>
      <c r="CF203" s="2345"/>
    </row>
    <row r="204" spans="1:84" s="4703" customFormat="1" ht="21" customHeight="1">
      <c r="A204" s="2335"/>
      <c r="B204" s="2335"/>
      <c r="C204" s="2335"/>
      <c r="D204" s="2335"/>
      <c r="E204" s="6764"/>
      <c r="F204" s="6764" t="s">
        <v>152</v>
      </c>
      <c r="G204" s="6764"/>
      <c r="H204" s="6764"/>
      <c r="I204" s="6784"/>
      <c r="J204" s="6761" t="str">
        <f>I203&amp;".1"</f>
        <v>1.14.1.1.1.1</v>
      </c>
      <c r="K204" s="2335"/>
      <c r="L204" s="2336" t="s">
        <v>526</v>
      </c>
      <c r="M204" s="2205"/>
      <c r="N204" s="2205"/>
      <c r="O204" s="2352"/>
      <c r="P204" s="6762"/>
      <c r="Q204" s="6762">
        <v>1</v>
      </c>
      <c r="R204" s="2357"/>
      <c r="S204" s="2341" t="str">
        <f>$J204</f>
        <v>1.14.1.1.1.1</v>
      </c>
      <c r="T204" s="2358" t="s">
        <v>527</v>
      </c>
      <c r="U204" s="2343"/>
      <c r="V204" s="6752"/>
      <c r="W204" s="6753"/>
      <c r="X204" s="6753"/>
      <c r="Y204" s="6753"/>
      <c r="Z204" s="6753"/>
      <c r="AA204" s="6753"/>
      <c r="AB204" s="6753"/>
      <c r="AC204" s="6754"/>
      <c r="AD204" s="6752" t="s">
        <v>566</v>
      </c>
      <c r="AE204" s="6753"/>
      <c r="AF204" s="6753"/>
      <c r="AG204" s="6753"/>
      <c r="AH204" s="6753"/>
      <c r="AI204" s="6753"/>
      <c r="AJ204" s="6753"/>
      <c r="AK204" s="6753"/>
      <c r="AL204" s="6752"/>
      <c r="AM204" s="6753"/>
      <c r="AN204" s="6753"/>
      <c r="AO204" s="6753"/>
      <c r="AP204" s="6753"/>
      <c r="AQ204" s="6753"/>
      <c r="AR204" s="6753"/>
      <c r="AS204" s="6754"/>
      <c r="AT204" s="6752"/>
      <c r="AU204" s="6753"/>
      <c r="AV204" s="6753"/>
      <c r="AW204" s="6753"/>
      <c r="AX204" s="6753"/>
      <c r="AY204" s="6753"/>
      <c r="AZ204" s="6753"/>
      <c r="BA204" s="6754"/>
      <c r="BB204" s="6752"/>
      <c r="BC204" s="6753"/>
      <c r="BD204" s="6753"/>
      <c r="BE204" s="6753"/>
      <c r="BF204" s="6753"/>
      <c r="BG204" s="6753"/>
      <c r="BH204" s="6753"/>
      <c r="BI204" s="6754"/>
      <c r="BJ204" s="6752"/>
      <c r="BK204" s="6753"/>
      <c r="BL204" s="6753"/>
      <c r="BM204" s="6753"/>
      <c r="BN204" s="6753"/>
      <c r="BO204" s="6753"/>
      <c r="BP204" s="6753"/>
      <c r="BQ204" s="6754"/>
      <c r="BR204" s="6752"/>
      <c r="BS204" s="6753"/>
      <c r="BT204" s="6753"/>
      <c r="BU204" s="6753"/>
      <c r="BV204" s="6753"/>
      <c r="BW204" s="6753"/>
      <c r="BX204" s="6753"/>
      <c r="BY204" s="6754"/>
      <c r="BZ204" s="6754"/>
      <c r="CA204" s="2344" t="s">
        <v>528</v>
      </c>
      <c r="CB204" s="2211"/>
      <c r="CC204" s="2345"/>
      <c r="CD204" s="2345" t="str">
        <f t="shared" si="6"/>
        <v>Группа потребителей</v>
      </c>
      <c r="CE204" s="2345"/>
      <c r="CF204" s="2345"/>
    </row>
    <row r="205" spans="1:84" s="4704" customFormat="1" ht="21" customHeight="1">
      <c r="A205" s="2335"/>
      <c r="B205" s="2335"/>
      <c r="C205" s="2335"/>
      <c r="D205" s="2335"/>
      <c r="E205" s="6764"/>
      <c r="F205" s="6764" t="s">
        <v>152</v>
      </c>
      <c r="G205" s="6764"/>
      <c r="H205" s="6764"/>
      <c r="I205" s="6784"/>
      <c r="J205" s="6784"/>
      <c r="K205" s="6761" t="str">
        <f>J204&amp;".1"</f>
        <v>1.14.1.1.1.1.1</v>
      </c>
      <c r="L205" s="2336" t="s">
        <v>529</v>
      </c>
      <c r="M205" s="2205"/>
      <c r="N205" s="2205"/>
      <c r="O205" s="2205"/>
      <c r="P205" s="6762"/>
      <c r="Q205" s="6762"/>
      <c r="R205" s="2357">
        <v>1</v>
      </c>
      <c r="S205" s="2341" t="str">
        <f>$K205</f>
        <v>1.14.1.1.1.1.1</v>
      </c>
      <c r="T205" s="2360" t="s">
        <v>567</v>
      </c>
      <c r="U205" s="2343"/>
      <c r="V205" s="2763"/>
      <c r="W205" s="2763"/>
      <c r="X205" s="2763"/>
      <c r="Y205" s="2764"/>
      <c r="Z205" s="6768"/>
      <c r="AA205" s="6769" t="s">
        <v>61</v>
      </c>
      <c r="AB205" s="6768"/>
      <c r="AC205" s="6769" t="s">
        <v>61</v>
      </c>
      <c r="AD205" s="2078">
        <v>2931.16</v>
      </c>
      <c r="AE205" s="2079"/>
      <c r="AF205" s="2078"/>
      <c r="AG205" s="2080"/>
      <c r="AH205" s="6766">
        <v>45292.713854166665</v>
      </c>
      <c r="AI205" s="6610" t="s">
        <v>61</v>
      </c>
      <c r="AJ205" s="6766">
        <v>45838.713958333334</v>
      </c>
      <c r="AK205" s="6610" t="s">
        <v>61</v>
      </c>
      <c r="AL205" s="2078">
        <v>3145.76</v>
      </c>
      <c r="AM205" s="2079"/>
      <c r="AN205" s="2078"/>
      <c r="AO205" s="2080"/>
      <c r="AP205" s="6766">
        <v>45839.714212962965</v>
      </c>
      <c r="AQ205" s="6610" t="s">
        <v>61</v>
      </c>
      <c r="AR205" s="6766">
        <v>46203.714421296296</v>
      </c>
      <c r="AS205" s="6610" t="s">
        <v>61</v>
      </c>
      <c r="AT205" s="2078">
        <v>3254.1</v>
      </c>
      <c r="AU205" s="2079"/>
      <c r="AV205" s="2078"/>
      <c r="AW205" s="2080"/>
      <c r="AX205" s="6766">
        <v>46204.71466435185</v>
      </c>
      <c r="AY205" s="6610" t="s">
        <v>61</v>
      </c>
      <c r="AZ205" s="6766">
        <v>46568.714803240742</v>
      </c>
      <c r="BA205" s="6610" t="s">
        <v>61</v>
      </c>
      <c r="BB205" s="2078">
        <v>3362.23</v>
      </c>
      <c r="BC205" s="2079"/>
      <c r="BD205" s="2078"/>
      <c r="BE205" s="2080"/>
      <c r="BF205" s="6766">
        <v>46569.715069444443</v>
      </c>
      <c r="BG205" s="6610" t="s">
        <v>61</v>
      </c>
      <c r="BH205" s="6766">
        <v>46934.715324074074</v>
      </c>
      <c r="BI205" s="6610" t="s">
        <v>61</v>
      </c>
      <c r="BJ205" s="2078">
        <v>3474.04</v>
      </c>
      <c r="BK205" s="2079"/>
      <c r="BL205" s="2078"/>
      <c r="BM205" s="2080"/>
      <c r="BN205" s="6766">
        <v>46935.715578703705</v>
      </c>
      <c r="BO205" s="6610" t="s">
        <v>61</v>
      </c>
      <c r="BP205" s="6766">
        <v>47118.715763888889</v>
      </c>
      <c r="BQ205" s="6610" t="s">
        <v>56</v>
      </c>
      <c r="BR205" s="2763"/>
      <c r="BS205" s="2763"/>
      <c r="BT205" s="2763"/>
      <c r="BU205" s="2764"/>
      <c r="BV205" s="6768"/>
      <c r="BW205" s="6769" t="s">
        <v>61</v>
      </c>
      <c r="BX205" s="6768"/>
      <c r="BY205" s="6769" t="s">
        <v>61</v>
      </c>
      <c r="BZ205" s="2079"/>
      <c r="CA205" s="6758" t="s">
        <v>530</v>
      </c>
      <c r="CB205" s="2211" t="e">
        <f ca="1">STRCHECKDATE(V206:BZ206)</f>
        <v>#NAME?</v>
      </c>
      <c r="CC205" s="2345"/>
      <c r="CD205" s="2345" t="str">
        <f t="shared" si="6"/>
        <v>вода</v>
      </c>
      <c r="CE205" s="2345"/>
      <c r="CF205" s="2345"/>
    </row>
    <row r="206" spans="1:84" s="4705" customFormat="1" ht="0.75" customHeight="1">
      <c r="A206" s="2335"/>
      <c r="B206" s="2335"/>
      <c r="C206" s="2335"/>
      <c r="D206" s="2335"/>
      <c r="E206" s="6764"/>
      <c r="F206" s="6764" t="s">
        <v>152</v>
      </c>
      <c r="G206" s="6764"/>
      <c r="H206" s="6764"/>
      <c r="I206" s="6784"/>
      <c r="J206" s="6784"/>
      <c r="K206" s="6761"/>
      <c r="L206" s="2336"/>
      <c r="M206" s="2205"/>
      <c r="N206" s="2205"/>
      <c r="O206" s="2205"/>
      <c r="P206" s="6762"/>
      <c r="Q206" s="6762"/>
      <c r="R206" s="2357"/>
      <c r="S206" s="2362"/>
      <c r="T206" s="2343"/>
      <c r="U206" s="2343"/>
      <c r="V206" s="2763"/>
      <c r="W206" s="2763"/>
      <c r="X206" s="2763"/>
      <c r="Y206" s="2082" t="str">
        <f>Z205&amp;"-"&amp;AB205</f>
        <v>-</v>
      </c>
      <c r="Z206" s="6769"/>
      <c r="AA206" s="6769"/>
      <c r="AB206" s="6769"/>
      <c r="AC206" s="6769"/>
      <c r="AD206" s="2079"/>
      <c r="AE206" s="2079"/>
      <c r="AF206" s="2079"/>
      <c r="AG206" s="2082" t="str">
        <f>AH205&amp;"-"&amp;AJ205</f>
        <v>45292,7138541667-45838,7139583333</v>
      </c>
      <c r="AH206" s="6767"/>
      <c r="AI206" s="6610"/>
      <c r="AJ206" s="6767"/>
      <c r="AK206" s="6610"/>
      <c r="AL206" s="2079"/>
      <c r="AM206" s="2079"/>
      <c r="AN206" s="2079"/>
      <c r="AO206" s="2082" t="str">
        <f>AP205&amp;"-"&amp;AR205</f>
        <v>45839,714212963-46203,7144212963</v>
      </c>
      <c r="AP206" s="6767"/>
      <c r="AQ206" s="6610"/>
      <c r="AR206" s="6767"/>
      <c r="AS206" s="6610"/>
      <c r="AT206" s="2079"/>
      <c r="AU206" s="2079"/>
      <c r="AV206" s="2079"/>
      <c r="AW206" s="2082" t="str">
        <f>AX205&amp;"-"&amp;AZ205</f>
        <v>46204,7146643518-46568,7148032407</v>
      </c>
      <c r="AX206" s="6767"/>
      <c r="AY206" s="6610"/>
      <c r="AZ206" s="6767"/>
      <c r="BA206" s="6610"/>
      <c r="BB206" s="2079"/>
      <c r="BC206" s="2079"/>
      <c r="BD206" s="2079"/>
      <c r="BE206" s="2082" t="str">
        <f>BF205&amp;"-"&amp;BH205</f>
        <v>46569,7150694444-46934,7153240741</v>
      </c>
      <c r="BF206" s="6767"/>
      <c r="BG206" s="6610"/>
      <c r="BH206" s="6767"/>
      <c r="BI206" s="6610"/>
      <c r="BJ206" s="2079"/>
      <c r="BK206" s="2079"/>
      <c r="BL206" s="2079"/>
      <c r="BM206" s="2082" t="str">
        <f>BN205&amp;"-"&amp;BP205</f>
        <v>46935,7155787037-47118,7157638889</v>
      </c>
      <c r="BN206" s="6767"/>
      <c r="BO206" s="6610"/>
      <c r="BP206" s="6767"/>
      <c r="BQ206" s="6610"/>
      <c r="BR206" s="2763"/>
      <c r="BS206" s="2763"/>
      <c r="BT206" s="2763"/>
      <c r="BU206" s="2082" t="str">
        <f>BV205&amp;"-"&amp;BX205</f>
        <v>-</v>
      </c>
      <c r="BV206" s="6769"/>
      <c r="BW206" s="6769"/>
      <c r="BX206" s="6769"/>
      <c r="BY206" s="6769"/>
      <c r="BZ206" s="2079"/>
      <c r="CA206" s="6759"/>
      <c r="CB206" s="2211"/>
      <c r="CC206" s="2345"/>
      <c r="CD206" s="2345" t="str">
        <f t="shared" si="6"/>
        <v/>
      </c>
      <c r="CE206" s="2345"/>
      <c r="CF206" s="2345"/>
    </row>
    <row r="207" spans="1:84" s="4706" customFormat="1" ht="15" customHeight="1">
      <c r="A207" s="2335"/>
      <c r="B207" s="2335"/>
      <c r="C207" s="2335"/>
      <c r="D207" s="2335"/>
      <c r="E207" s="6764"/>
      <c r="F207" s="6764" t="s">
        <v>152</v>
      </c>
      <c r="G207" s="6764"/>
      <c r="H207" s="6764"/>
      <c r="I207" s="6784"/>
      <c r="J207" s="6761"/>
      <c r="K207" s="2335"/>
      <c r="L207" s="2336"/>
      <c r="M207" s="2205"/>
      <c r="N207" s="2205"/>
      <c r="O207" s="2352"/>
      <c r="P207" s="6762"/>
      <c r="Q207" s="6762"/>
      <c r="R207" s="2354"/>
      <c r="S207" s="4707"/>
      <c r="T207" s="4708" t="s">
        <v>531</v>
      </c>
      <c r="U207" s="4709"/>
      <c r="V207" s="4710"/>
      <c r="W207" s="4711"/>
      <c r="X207" s="4712"/>
      <c r="Y207" s="4713"/>
      <c r="Z207" s="4714"/>
      <c r="AA207" s="4715"/>
      <c r="AB207" s="4716"/>
      <c r="AC207" s="4717"/>
      <c r="AD207" s="4718"/>
      <c r="AE207" s="4719"/>
      <c r="AF207" s="4720"/>
      <c r="AG207" s="4721"/>
      <c r="AH207" s="4722"/>
      <c r="AI207" s="4723"/>
      <c r="AJ207" s="4724"/>
      <c r="AK207" s="4725"/>
      <c r="AL207" s="4726"/>
      <c r="AM207" s="4727"/>
      <c r="AN207" s="4728"/>
      <c r="AO207" s="4729"/>
      <c r="AP207" s="4730"/>
      <c r="AQ207" s="4731"/>
      <c r="AR207" s="4732"/>
      <c r="AS207" s="4733"/>
      <c r="AT207" s="4734"/>
      <c r="AU207" s="4735"/>
      <c r="AV207" s="4736"/>
      <c r="AW207" s="4737"/>
      <c r="AX207" s="4738"/>
      <c r="AY207" s="4739"/>
      <c r="AZ207" s="4740"/>
      <c r="BA207" s="4741"/>
      <c r="BB207" s="4742"/>
      <c r="BC207" s="4743"/>
      <c r="BD207" s="4744"/>
      <c r="BE207" s="4745"/>
      <c r="BF207" s="4746"/>
      <c r="BG207" s="4747"/>
      <c r="BH207" s="4748"/>
      <c r="BI207" s="4749"/>
      <c r="BJ207" s="4750"/>
      <c r="BK207" s="4751"/>
      <c r="BL207" s="4752"/>
      <c r="BM207" s="4753"/>
      <c r="BN207" s="4754"/>
      <c r="BO207" s="4755"/>
      <c r="BP207" s="4756"/>
      <c r="BQ207" s="4757"/>
      <c r="BR207" s="4758"/>
      <c r="BS207" s="4759"/>
      <c r="BT207" s="4760"/>
      <c r="BU207" s="4761"/>
      <c r="BV207" s="4762"/>
      <c r="BW207" s="4763"/>
      <c r="BX207" s="4764"/>
      <c r="BY207" s="4765"/>
      <c r="BZ207" s="4766"/>
      <c r="CA207" s="6760"/>
      <c r="CB207" s="2211"/>
      <c r="CC207" s="2345"/>
      <c r="CD207" s="2345" t="str">
        <f t="shared" si="6"/>
        <v>Добавить вид теплоносителя (параметры теплоносителя)</v>
      </c>
      <c r="CE207" s="2345"/>
      <c r="CF207" s="2345"/>
    </row>
    <row r="208" spans="1:84" s="4767" customFormat="1" ht="15" customHeight="1">
      <c r="A208" s="2335"/>
      <c r="B208" s="2335"/>
      <c r="C208" s="2335"/>
      <c r="D208" s="2335"/>
      <c r="E208" s="6764"/>
      <c r="F208" s="6764" t="s">
        <v>152</v>
      </c>
      <c r="G208" s="6764"/>
      <c r="H208" s="6764"/>
      <c r="I208" s="6761"/>
      <c r="J208" s="2335"/>
      <c r="K208" s="2335"/>
      <c r="L208" s="2336"/>
      <c r="M208" s="2205"/>
      <c r="N208" s="2352"/>
      <c r="O208" s="2352"/>
      <c r="P208" s="6762"/>
      <c r="Q208" s="2353"/>
      <c r="R208" s="2354"/>
      <c r="S208" s="4768"/>
      <c r="T208" s="4769" t="s">
        <v>532</v>
      </c>
      <c r="U208" s="4770"/>
      <c r="V208" s="4771"/>
      <c r="W208" s="4772"/>
      <c r="X208" s="4773"/>
      <c r="Y208" s="4774"/>
      <c r="Z208" s="4775"/>
      <c r="AA208" s="4776"/>
      <c r="AB208" s="4777"/>
      <c r="AC208" s="4778"/>
      <c r="AD208" s="4779"/>
      <c r="AE208" s="4780"/>
      <c r="AF208" s="4781"/>
      <c r="AG208" s="4782"/>
      <c r="AH208" s="4783"/>
      <c r="AI208" s="4784"/>
      <c r="AJ208" s="4785"/>
      <c r="AK208" s="4786"/>
      <c r="AL208" s="4787"/>
      <c r="AM208" s="4788"/>
      <c r="AN208" s="4789"/>
      <c r="AO208" s="4790"/>
      <c r="AP208" s="4791"/>
      <c r="AQ208" s="4792"/>
      <c r="AR208" s="4793"/>
      <c r="AS208" s="4794"/>
      <c r="AT208" s="4795"/>
      <c r="AU208" s="4796"/>
      <c r="AV208" s="4797"/>
      <c r="AW208" s="4798"/>
      <c r="AX208" s="4799"/>
      <c r="AY208" s="4800"/>
      <c r="AZ208" s="4801"/>
      <c r="BA208" s="4802"/>
      <c r="BB208" s="4803"/>
      <c r="BC208" s="4804"/>
      <c r="BD208" s="4805"/>
      <c r="BE208" s="4806"/>
      <c r="BF208" s="4807"/>
      <c r="BG208" s="4808"/>
      <c r="BH208" s="4809"/>
      <c r="BI208" s="4810"/>
      <c r="BJ208" s="4811"/>
      <c r="BK208" s="4812"/>
      <c r="BL208" s="4813"/>
      <c r="BM208" s="4814"/>
      <c r="BN208" s="4815"/>
      <c r="BO208" s="4816"/>
      <c r="BP208" s="4817"/>
      <c r="BQ208" s="4818"/>
      <c r="BR208" s="4819"/>
      <c r="BS208" s="4820"/>
      <c r="BT208" s="4821"/>
      <c r="BU208" s="4822"/>
      <c r="BV208" s="4823"/>
      <c r="BW208" s="4824"/>
      <c r="BX208" s="4825"/>
      <c r="BY208" s="4826"/>
      <c r="BZ208" s="4827"/>
      <c r="CA208" s="4828"/>
      <c r="CB208" s="2211"/>
      <c r="CC208" s="2345"/>
      <c r="CD208" s="2345" t="str">
        <f t="shared" si="6"/>
        <v>Добавить группу потребителей</v>
      </c>
      <c r="CE208" s="2345"/>
      <c r="CF208" s="2345"/>
    </row>
    <row r="209" spans="1:84" s="4829" customFormat="1" ht="14.25" customHeight="1">
      <c r="A209" s="2335"/>
      <c r="B209" s="2335"/>
      <c r="C209" s="2335"/>
      <c r="D209" s="2335"/>
      <c r="E209" s="6764"/>
      <c r="F209" s="6764" t="s">
        <v>152</v>
      </c>
      <c r="G209" s="6764"/>
      <c r="H209" s="6763"/>
      <c r="I209" s="2335"/>
      <c r="J209" s="2335"/>
      <c r="K209" s="2335"/>
      <c r="L209" s="2336"/>
      <c r="M209" s="2337"/>
      <c r="N209" s="2337"/>
      <c r="O209" s="2205"/>
      <c r="P209" s="2487"/>
      <c r="Q209" s="2488"/>
      <c r="R209" s="2489"/>
      <c r="S209" s="4830"/>
      <c r="T209" s="4831" t="s">
        <v>533</v>
      </c>
      <c r="U209" s="4832"/>
      <c r="V209" s="4833"/>
      <c r="W209" s="4834"/>
      <c r="X209" s="4835"/>
      <c r="Y209" s="4836"/>
      <c r="Z209" s="4837"/>
      <c r="AA209" s="4838"/>
      <c r="AB209" s="4839"/>
      <c r="AC209" s="4840"/>
      <c r="AD209" s="4841"/>
      <c r="AE209" s="4842"/>
      <c r="AF209" s="4843"/>
      <c r="AG209" s="4844"/>
      <c r="AH209" s="4845"/>
      <c r="AI209" s="4846"/>
      <c r="AJ209" s="4847"/>
      <c r="AK209" s="4848"/>
      <c r="AL209" s="4849"/>
      <c r="AM209" s="4850"/>
      <c r="AN209" s="4851"/>
      <c r="AO209" s="4852"/>
      <c r="AP209" s="4853"/>
      <c r="AQ209" s="4854"/>
      <c r="AR209" s="4855"/>
      <c r="AS209" s="4856"/>
      <c r="AT209" s="4857"/>
      <c r="AU209" s="4858"/>
      <c r="AV209" s="4859"/>
      <c r="AW209" s="4860"/>
      <c r="AX209" s="4861"/>
      <c r="AY209" s="4862"/>
      <c r="AZ209" s="4863"/>
      <c r="BA209" s="4864"/>
      <c r="BB209" s="4865"/>
      <c r="BC209" s="4866"/>
      <c r="BD209" s="4867"/>
      <c r="BE209" s="4868"/>
      <c r="BF209" s="4869"/>
      <c r="BG209" s="4870"/>
      <c r="BH209" s="4871"/>
      <c r="BI209" s="4872"/>
      <c r="BJ209" s="4873"/>
      <c r="BK209" s="4874"/>
      <c r="BL209" s="4875"/>
      <c r="BM209" s="4876"/>
      <c r="BN209" s="4877"/>
      <c r="BO209" s="4878"/>
      <c r="BP209" s="4879"/>
      <c r="BQ209" s="4880"/>
      <c r="BR209" s="4881"/>
      <c r="BS209" s="4882"/>
      <c r="BT209" s="4883"/>
      <c r="BU209" s="4884"/>
      <c r="BV209" s="4885"/>
      <c r="BW209" s="4886"/>
      <c r="BX209" s="4887"/>
      <c r="BY209" s="4888"/>
      <c r="BZ209" s="4889"/>
      <c r="CA209" s="4890"/>
      <c r="CB209" s="2211"/>
      <c r="CC209" s="2345"/>
      <c r="CD209" s="2345" t="str">
        <f t="shared" si="6"/>
        <v>Добавить схему подключения</v>
      </c>
      <c r="CE209" s="2345"/>
      <c r="CF209" s="2345"/>
    </row>
    <row r="210" spans="1:84" s="4891" customFormat="1" ht="0.75" customHeight="1">
      <c r="A210" s="2552"/>
      <c r="B210" s="2552"/>
      <c r="C210" s="2552"/>
      <c r="D210" s="2552"/>
      <c r="E210" s="6764"/>
      <c r="F210" s="6764" t="s">
        <v>152</v>
      </c>
      <c r="G210" s="6763"/>
      <c r="H210" s="2552"/>
      <c r="I210" s="2552"/>
      <c r="J210" s="2552"/>
      <c r="K210" s="2552"/>
      <c r="L210" s="2553"/>
      <c r="M210" s="2554"/>
      <c r="N210" s="2554"/>
      <c r="O210" s="2211"/>
      <c r="P210" s="2555"/>
      <c r="Q210" s="2556"/>
      <c r="R210" s="2555"/>
      <c r="S210" s="2557"/>
      <c r="T210" s="2558" t="s">
        <v>228</v>
      </c>
      <c r="U210" s="2203"/>
      <c r="V210" s="2203"/>
      <c r="W210" s="2203"/>
      <c r="X210" s="2203"/>
      <c r="Y210" s="2203"/>
      <c r="Z210" s="2203"/>
      <c r="AA210" s="2203"/>
      <c r="AB210" s="2203"/>
      <c r="AC210" s="2203"/>
      <c r="AD210" s="2203"/>
      <c r="AE210" s="2203"/>
      <c r="AF210" s="2203"/>
      <c r="AG210" s="2203"/>
      <c r="AH210" s="2203"/>
      <c r="AI210" s="2203"/>
      <c r="AJ210" s="2203"/>
      <c r="AK210" s="2203"/>
      <c r="AL210" s="2203"/>
      <c r="AM210" s="2203"/>
      <c r="AN210" s="2203"/>
      <c r="AO210" s="2203"/>
      <c r="AP210" s="2203"/>
      <c r="AQ210" s="2203"/>
      <c r="AR210" s="2203"/>
      <c r="AS210" s="2203"/>
      <c r="AT210" s="2203"/>
      <c r="AU210" s="2203"/>
      <c r="AV210" s="2203"/>
      <c r="AW210" s="2203"/>
      <c r="AX210" s="2203"/>
      <c r="AY210" s="2203"/>
      <c r="AZ210" s="2203"/>
      <c r="BA210" s="2203"/>
      <c r="BB210" s="2203"/>
      <c r="BC210" s="2203"/>
      <c r="BD210" s="2203"/>
      <c r="BE210" s="2203"/>
      <c r="BF210" s="2203"/>
      <c r="BG210" s="2203"/>
      <c r="BH210" s="2203"/>
      <c r="BI210" s="2203"/>
      <c r="BJ210" s="2203"/>
      <c r="BK210" s="2203"/>
      <c r="BL210" s="2203"/>
      <c r="BM210" s="2203"/>
      <c r="BN210" s="2203"/>
      <c r="BO210" s="2203"/>
      <c r="BP210" s="2203"/>
      <c r="BQ210" s="2203"/>
      <c r="BR210" s="2203"/>
      <c r="BS210" s="2203"/>
      <c r="BT210" s="2203"/>
      <c r="BU210" s="2203"/>
      <c r="BV210" s="2203"/>
      <c r="BW210" s="2203"/>
      <c r="BX210" s="2203"/>
      <c r="BY210" s="2203"/>
      <c r="BZ210" s="2203"/>
      <c r="CA210" s="2203"/>
      <c r="CB210" s="2211"/>
      <c r="CC210" s="2345"/>
      <c r="CD210" s="2345" t="str">
        <f t="shared" si="6"/>
        <v>Добавить источник для дифференциации</v>
      </c>
      <c r="CE210" s="2345"/>
      <c r="CF210" s="2345"/>
    </row>
    <row r="211" spans="1:84" s="4892" customFormat="1" ht="0.75" customHeight="1">
      <c r="A211" s="2552"/>
      <c r="B211" s="2552"/>
      <c r="C211" s="2552"/>
      <c r="D211" s="2552"/>
      <c r="E211" s="6764"/>
      <c r="F211" s="6763" t="s">
        <v>152</v>
      </c>
      <c r="G211" s="2552"/>
      <c r="H211" s="2552"/>
      <c r="I211" s="2552"/>
      <c r="J211" s="2552"/>
      <c r="K211" s="2552"/>
      <c r="L211" s="2553"/>
      <c r="M211" s="2560"/>
      <c r="N211" s="2560"/>
      <c r="O211" s="2211"/>
      <c r="P211" s="2555"/>
      <c r="Q211" s="2556"/>
      <c r="R211" s="2555"/>
      <c r="S211" s="2561"/>
      <c r="T211" s="2562" t="s">
        <v>229</v>
      </c>
      <c r="U211" s="2204"/>
      <c r="V211" s="2204"/>
      <c r="W211" s="2204"/>
      <c r="X211" s="2204"/>
      <c r="Y211" s="2204"/>
      <c r="Z211" s="2204"/>
      <c r="AA211" s="2204"/>
      <c r="AB211" s="2204"/>
      <c r="AC211" s="2204"/>
      <c r="AD211" s="2204"/>
      <c r="AE211" s="2204"/>
      <c r="AF211" s="2204"/>
      <c r="AG211" s="2204"/>
      <c r="AH211" s="2204"/>
      <c r="AI211" s="2204"/>
      <c r="AJ211" s="2204"/>
      <c r="AK211" s="2204"/>
      <c r="AL211" s="2204"/>
      <c r="AM211" s="2204"/>
      <c r="AN211" s="2204"/>
      <c r="AO211" s="2204"/>
      <c r="AP211" s="2204"/>
      <c r="AQ211" s="2204"/>
      <c r="AR211" s="2204"/>
      <c r="AS211" s="2204"/>
      <c r="AT211" s="2204"/>
      <c r="AU211" s="2204"/>
      <c r="AV211" s="2204"/>
      <c r="AW211" s="2204"/>
      <c r="AX211" s="2204"/>
      <c r="AY211" s="2204"/>
      <c r="AZ211" s="2204"/>
      <c r="BA211" s="2204"/>
      <c r="BB211" s="2204"/>
      <c r="BC211" s="2204"/>
      <c r="BD211" s="2204"/>
      <c r="BE211" s="2204"/>
      <c r="BF211" s="2204"/>
      <c r="BG211" s="2204"/>
      <c r="BH211" s="2204"/>
      <c r="BI211" s="2204"/>
      <c r="BJ211" s="2204"/>
      <c r="BK211" s="2204"/>
      <c r="BL211" s="2204"/>
      <c r="BM211" s="2204"/>
      <c r="BN211" s="2204"/>
      <c r="BO211" s="2204"/>
      <c r="BP211" s="2204"/>
      <c r="BQ211" s="2204"/>
      <c r="BR211" s="2204"/>
      <c r="BS211" s="2204"/>
      <c r="BT211" s="2204"/>
      <c r="BU211" s="2204"/>
      <c r="BV211" s="2204"/>
      <c r="BW211" s="2204"/>
      <c r="BX211" s="2204"/>
      <c r="BY211" s="2204"/>
      <c r="BZ211" s="2204"/>
      <c r="CA211" s="2204"/>
      <c r="CB211" s="2211"/>
      <c r="CC211" s="2345"/>
      <c r="CD211" s="2345" t="str">
        <f t="shared" si="6"/>
        <v>Добавить централизованную систему для дифференциации</v>
      </c>
      <c r="CE211" s="2345"/>
      <c r="CF211" s="2345"/>
    </row>
    <row r="212" spans="1:84" s="4893" customFormat="1" ht="21" customHeight="1">
      <c r="A212" s="2335"/>
      <c r="B212" s="2335" t="s">
        <v>269</v>
      </c>
      <c r="C212" s="2335"/>
      <c r="D212" s="2335"/>
      <c r="E212" s="6764"/>
      <c r="F212" s="6763" t="s">
        <v>162</v>
      </c>
      <c r="G212" s="2335"/>
      <c r="H212" s="2335"/>
      <c r="I212" s="2335"/>
      <c r="J212" s="2335"/>
      <c r="K212" s="2335"/>
      <c r="L212" s="2336"/>
      <c r="M212" s="2337"/>
      <c r="N212" s="2337"/>
      <c r="O212" s="2337"/>
      <c r="P212" s="2338"/>
      <c r="Q212" s="2339"/>
      <c r="R212" s="2340"/>
      <c r="S212" s="2341" t="str">
        <f>INDEX(PT_DIFFERENTIATION_NUM_TER,MATCH(B212,PT_DIFFERENTIATION_TER_ID,0))</f>
        <v>1.15</v>
      </c>
      <c r="T212" s="2342" t="s">
        <v>517</v>
      </c>
      <c r="U212" s="2343"/>
      <c r="V212" s="6749"/>
      <c r="W212" s="6750"/>
      <c r="X212" s="6750"/>
      <c r="Y212" s="6750"/>
      <c r="Z212" s="6750"/>
      <c r="AA212" s="6750"/>
      <c r="AB212" s="6750"/>
      <c r="AC212" s="6751"/>
      <c r="AD212" s="6749" t="str">
        <f>INDEX(PT_DIFFERENTIATION_TER,MATCH(B212,PT_DIFFERENTIATION_TER_ID,0))</f>
        <v>Территория 14</v>
      </c>
      <c r="AE212" s="6750"/>
      <c r="AF212" s="6750"/>
      <c r="AG212" s="6750"/>
      <c r="AH212" s="6750"/>
      <c r="AI212" s="6750"/>
      <c r="AJ212" s="6750"/>
      <c r="AK212" s="6750"/>
      <c r="AL212" s="6749"/>
      <c r="AM212" s="6750"/>
      <c r="AN212" s="6750"/>
      <c r="AO212" s="6750"/>
      <c r="AP212" s="6750"/>
      <c r="AQ212" s="6750"/>
      <c r="AR212" s="6750"/>
      <c r="AS212" s="6751"/>
      <c r="AT212" s="6749"/>
      <c r="AU212" s="6750"/>
      <c r="AV212" s="6750"/>
      <c r="AW212" s="6750"/>
      <c r="AX212" s="6750"/>
      <c r="AY212" s="6750"/>
      <c r="AZ212" s="6750"/>
      <c r="BA212" s="6751"/>
      <c r="BB212" s="6749"/>
      <c r="BC212" s="6750"/>
      <c r="BD212" s="6750"/>
      <c r="BE212" s="6750"/>
      <c r="BF212" s="6750"/>
      <c r="BG212" s="6750"/>
      <c r="BH212" s="6750"/>
      <c r="BI212" s="6751"/>
      <c r="BJ212" s="6749"/>
      <c r="BK212" s="6750"/>
      <c r="BL212" s="6750"/>
      <c r="BM212" s="6750"/>
      <c r="BN212" s="6750"/>
      <c r="BO212" s="6750"/>
      <c r="BP212" s="6750"/>
      <c r="BQ212" s="6751"/>
      <c r="BR212" s="6749"/>
      <c r="BS212" s="6750"/>
      <c r="BT212" s="6750"/>
      <c r="BU212" s="6750"/>
      <c r="BV212" s="6750"/>
      <c r="BW212" s="6750"/>
      <c r="BX212" s="6750"/>
      <c r="BY212" s="6751"/>
      <c r="BZ212" s="6751"/>
      <c r="CA212" s="2344" t="s">
        <v>518</v>
      </c>
      <c r="CB212" s="2211"/>
      <c r="CC212" s="2345"/>
      <c r="CD212" s="2345" t="str">
        <f t="shared" si="6"/>
        <v>Территория действия тарифа</v>
      </c>
      <c r="CE212" s="2345"/>
      <c r="CF212" s="2345"/>
    </row>
    <row r="213" spans="1:84" s="4894" customFormat="1" ht="23.25" customHeight="1">
      <c r="A213" s="2335"/>
      <c r="B213" s="2335"/>
      <c r="C213" s="2335" t="s">
        <v>270</v>
      </c>
      <c r="D213" s="2335"/>
      <c r="E213" s="6764"/>
      <c r="F213" s="6764" t="s">
        <v>157</v>
      </c>
      <c r="G213" s="6763">
        <v>1</v>
      </c>
      <c r="H213" s="2335"/>
      <c r="I213" s="2335"/>
      <c r="J213" s="2335"/>
      <c r="K213" s="2335"/>
      <c r="L213" s="2336"/>
      <c r="M213" s="2337"/>
      <c r="N213" s="2337"/>
      <c r="O213" s="2337"/>
      <c r="P213" s="2347"/>
      <c r="Q213" s="2339"/>
      <c r="R213" s="2340"/>
      <c r="S213" s="2341" t="str">
        <f>INDEX(PT_DIFFERENTIATION_NUM_CS,MATCH(C213,PT_DIFFERENTIATION_CS_ID,0))</f>
        <v>1.15.1</v>
      </c>
      <c r="T213" s="2348" t="s">
        <v>519</v>
      </c>
      <c r="U213" s="2343"/>
      <c r="V213" s="6749"/>
      <c r="W213" s="6750"/>
      <c r="X213" s="6750"/>
      <c r="Y213" s="6750"/>
      <c r="Z213" s="6750"/>
      <c r="AA213" s="6750"/>
      <c r="AB213" s="6750"/>
      <c r="AC213" s="6751"/>
      <c r="AD213" s="6749" t="str">
        <f>INDEX(PT_DIFFERENTIATION_CS,MATCH(C213,PT_DIFFERENTIATION_CS_ID,0))</f>
        <v>без дифференциации</v>
      </c>
      <c r="AE213" s="6750"/>
      <c r="AF213" s="6750"/>
      <c r="AG213" s="6750"/>
      <c r="AH213" s="6750"/>
      <c r="AI213" s="6750"/>
      <c r="AJ213" s="6750"/>
      <c r="AK213" s="6750"/>
      <c r="AL213" s="6749"/>
      <c r="AM213" s="6750"/>
      <c r="AN213" s="6750"/>
      <c r="AO213" s="6750"/>
      <c r="AP213" s="6750"/>
      <c r="AQ213" s="6750"/>
      <c r="AR213" s="6750"/>
      <c r="AS213" s="6751"/>
      <c r="AT213" s="6749"/>
      <c r="AU213" s="6750"/>
      <c r="AV213" s="6750"/>
      <c r="AW213" s="6750"/>
      <c r="AX213" s="6750"/>
      <c r="AY213" s="6750"/>
      <c r="AZ213" s="6750"/>
      <c r="BA213" s="6751"/>
      <c r="BB213" s="6749"/>
      <c r="BC213" s="6750"/>
      <c r="BD213" s="6750"/>
      <c r="BE213" s="6750"/>
      <c r="BF213" s="6750"/>
      <c r="BG213" s="6750"/>
      <c r="BH213" s="6750"/>
      <c r="BI213" s="6751"/>
      <c r="BJ213" s="6749"/>
      <c r="BK213" s="6750"/>
      <c r="BL213" s="6750"/>
      <c r="BM213" s="6750"/>
      <c r="BN213" s="6750"/>
      <c r="BO213" s="6750"/>
      <c r="BP213" s="6750"/>
      <c r="BQ213" s="6751"/>
      <c r="BR213" s="6749"/>
      <c r="BS213" s="6750"/>
      <c r="BT213" s="6750"/>
      <c r="BU213" s="6750"/>
      <c r="BV213" s="6750"/>
      <c r="BW213" s="6750"/>
      <c r="BX213" s="6750"/>
      <c r="BY213" s="6751"/>
      <c r="BZ213" s="6751"/>
      <c r="CA213" s="2344" t="s">
        <v>520</v>
      </c>
      <c r="CB213" s="2211"/>
      <c r="CC213" s="2345"/>
      <c r="CD213" s="2345" t="str">
        <f t="shared" si="6"/>
        <v xml:space="preserve">Наименование системы теплоснабжения </v>
      </c>
      <c r="CE213" s="2345"/>
      <c r="CF213" s="2345"/>
    </row>
    <row r="214" spans="1:84" s="4895" customFormat="1" ht="21" customHeight="1">
      <c r="A214" s="2335"/>
      <c r="B214" s="2335"/>
      <c r="C214" s="2335"/>
      <c r="D214" s="2335" t="s">
        <v>271</v>
      </c>
      <c r="E214" s="6764"/>
      <c r="F214" s="6764" t="s">
        <v>157</v>
      </c>
      <c r="G214" s="6764"/>
      <c r="H214" s="6763">
        <v>1</v>
      </c>
      <c r="I214" s="2335"/>
      <c r="J214" s="2335"/>
      <c r="K214" s="2335"/>
      <c r="L214" s="2336"/>
      <c r="M214" s="2337"/>
      <c r="N214" s="2337"/>
      <c r="O214" s="2337"/>
      <c r="P214" s="2347"/>
      <c r="Q214" s="2339"/>
      <c r="R214" s="2340"/>
      <c r="S214" s="2341" t="str">
        <f>INDEX(PT_DIFFERENTIATION_NUM_IST_TE,MATCH(D214,PT_DIFFERENTIATION_IST_TE_ID,0))</f>
        <v>1.15.1.1</v>
      </c>
      <c r="T214" s="2350" t="s">
        <v>521</v>
      </c>
      <c r="U214" s="2343"/>
      <c r="V214" s="6749"/>
      <c r="W214" s="6750"/>
      <c r="X214" s="6750"/>
      <c r="Y214" s="6750"/>
      <c r="Z214" s="6750"/>
      <c r="AA214" s="6750"/>
      <c r="AB214" s="6750"/>
      <c r="AC214" s="6751"/>
      <c r="AD214" s="6749" t="str">
        <f>INDEX(PT_DIFFERENTIATION_IST_TE,MATCH(D214,PT_DIFFERENTIATION_IST_TE_ID,0))</f>
        <v>без дифференциации</v>
      </c>
      <c r="AE214" s="6750"/>
      <c r="AF214" s="6750"/>
      <c r="AG214" s="6750"/>
      <c r="AH214" s="6750"/>
      <c r="AI214" s="6750"/>
      <c r="AJ214" s="6750"/>
      <c r="AK214" s="6750"/>
      <c r="AL214" s="6749"/>
      <c r="AM214" s="6750"/>
      <c r="AN214" s="6750"/>
      <c r="AO214" s="6750"/>
      <c r="AP214" s="6750"/>
      <c r="AQ214" s="6750"/>
      <c r="AR214" s="6750"/>
      <c r="AS214" s="6751"/>
      <c r="AT214" s="6749"/>
      <c r="AU214" s="6750"/>
      <c r="AV214" s="6750"/>
      <c r="AW214" s="6750"/>
      <c r="AX214" s="6750"/>
      <c r="AY214" s="6750"/>
      <c r="AZ214" s="6750"/>
      <c r="BA214" s="6751"/>
      <c r="BB214" s="6749"/>
      <c r="BC214" s="6750"/>
      <c r="BD214" s="6750"/>
      <c r="BE214" s="6750"/>
      <c r="BF214" s="6750"/>
      <c r="BG214" s="6750"/>
      <c r="BH214" s="6750"/>
      <c r="BI214" s="6751"/>
      <c r="BJ214" s="6749"/>
      <c r="BK214" s="6750"/>
      <c r="BL214" s="6750"/>
      <c r="BM214" s="6750"/>
      <c r="BN214" s="6750"/>
      <c r="BO214" s="6750"/>
      <c r="BP214" s="6750"/>
      <c r="BQ214" s="6751"/>
      <c r="BR214" s="6749"/>
      <c r="BS214" s="6750"/>
      <c r="BT214" s="6750"/>
      <c r="BU214" s="6750"/>
      <c r="BV214" s="6750"/>
      <c r="BW214" s="6750"/>
      <c r="BX214" s="6750"/>
      <c r="BY214" s="6751"/>
      <c r="BZ214" s="6751"/>
      <c r="CA214" s="2344" t="s">
        <v>522</v>
      </c>
      <c r="CB214" s="2211"/>
      <c r="CC214" s="2345"/>
      <c r="CD214" s="2345" t="str">
        <f t="shared" si="6"/>
        <v xml:space="preserve">Источник тепловой энергии  </v>
      </c>
      <c r="CE214" s="2345"/>
      <c r="CF214" s="2345"/>
    </row>
    <row r="215" spans="1:84" s="4896" customFormat="1" ht="47.25" customHeight="1">
      <c r="A215" s="2335"/>
      <c r="B215" s="2335"/>
      <c r="C215" s="2335"/>
      <c r="D215" s="2335"/>
      <c r="E215" s="6764"/>
      <c r="F215" s="6764" t="s">
        <v>157</v>
      </c>
      <c r="G215" s="6764"/>
      <c r="H215" s="6764"/>
      <c r="I215" s="6761" t="str">
        <f>S214&amp;".1"</f>
        <v>1.15.1.1.1</v>
      </c>
      <c r="J215" s="2335"/>
      <c r="K215" s="2335"/>
      <c r="L215" s="2336" t="s">
        <v>523</v>
      </c>
      <c r="M215" s="2205"/>
      <c r="N215" s="2352"/>
      <c r="O215" s="2352"/>
      <c r="P215" s="6762">
        <v>1</v>
      </c>
      <c r="Q215" s="2353"/>
      <c r="R215" s="2354"/>
      <c r="S215" s="2341" t="str">
        <f>$I215</f>
        <v>1.15.1.1.1</v>
      </c>
      <c r="T215" s="2355" t="s">
        <v>524</v>
      </c>
      <c r="U215" s="2343"/>
      <c r="V215" s="6752"/>
      <c r="W215" s="6753"/>
      <c r="X215" s="6753"/>
      <c r="Y215" s="6753"/>
      <c r="Z215" s="6753"/>
      <c r="AA215" s="6753"/>
      <c r="AB215" s="6753"/>
      <c r="AC215" s="6754"/>
      <c r="AD215" s="6752" t="s">
        <v>566</v>
      </c>
      <c r="AE215" s="6753"/>
      <c r="AF215" s="6753"/>
      <c r="AG215" s="6753"/>
      <c r="AH215" s="6753"/>
      <c r="AI215" s="6753"/>
      <c r="AJ215" s="6753"/>
      <c r="AK215" s="6753"/>
      <c r="AL215" s="6752"/>
      <c r="AM215" s="6753"/>
      <c r="AN215" s="6753"/>
      <c r="AO215" s="6753"/>
      <c r="AP215" s="6753"/>
      <c r="AQ215" s="6753"/>
      <c r="AR215" s="6753"/>
      <c r="AS215" s="6754"/>
      <c r="AT215" s="6752"/>
      <c r="AU215" s="6753"/>
      <c r="AV215" s="6753"/>
      <c r="AW215" s="6753"/>
      <c r="AX215" s="6753"/>
      <c r="AY215" s="6753"/>
      <c r="AZ215" s="6753"/>
      <c r="BA215" s="6754"/>
      <c r="BB215" s="6752"/>
      <c r="BC215" s="6753"/>
      <c r="BD215" s="6753"/>
      <c r="BE215" s="6753"/>
      <c r="BF215" s="6753"/>
      <c r="BG215" s="6753"/>
      <c r="BH215" s="6753"/>
      <c r="BI215" s="6754"/>
      <c r="BJ215" s="6752"/>
      <c r="BK215" s="6753"/>
      <c r="BL215" s="6753"/>
      <c r="BM215" s="6753"/>
      <c r="BN215" s="6753"/>
      <c r="BO215" s="6753"/>
      <c r="BP215" s="6753"/>
      <c r="BQ215" s="6754"/>
      <c r="BR215" s="6752"/>
      <c r="BS215" s="6753"/>
      <c r="BT215" s="6753"/>
      <c r="BU215" s="6753"/>
      <c r="BV215" s="6753"/>
      <c r="BW215" s="6753"/>
      <c r="BX215" s="6753"/>
      <c r="BY215" s="6754"/>
      <c r="BZ215" s="6754"/>
      <c r="CA215" s="2344" t="s">
        <v>525</v>
      </c>
      <c r="CB215" s="2211"/>
      <c r="CC215" s="2345"/>
      <c r="CD215" s="2345" t="str">
        <f t="shared" si="6"/>
        <v>Схема подключения теплопотребляющей установки к коллектору источника тепловой энергии</v>
      </c>
      <c r="CE215" s="2345"/>
      <c r="CF215" s="2345"/>
    </row>
    <row r="216" spans="1:84" s="4897" customFormat="1" ht="21" customHeight="1">
      <c r="A216" s="2335"/>
      <c r="B216" s="2335"/>
      <c r="C216" s="2335"/>
      <c r="D216" s="2335"/>
      <c r="E216" s="6764"/>
      <c r="F216" s="6764" t="s">
        <v>157</v>
      </c>
      <c r="G216" s="6764"/>
      <c r="H216" s="6764"/>
      <c r="I216" s="6784"/>
      <c r="J216" s="6761" t="str">
        <f>I215&amp;".1"</f>
        <v>1.15.1.1.1.1</v>
      </c>
      <c r="K216" s="2335"/>
      <c r="L216" s="2336" t="s">
        <v>526</v>
      </c>
      <c r="M216" s="2205"/>
      <c r="N216" s="2205"/>
      <c r="O216" s="2352"/>
      <c r="P216" s="6762"/>
      <c r="Q216" s="6762">
        <v>1</v>
      </c>
      <c r="R216" s="2357"/>
      <c r="S216" s="2341" t="str">
        <f>$J216</f>
        <v>1.15.1.1.1.1</v>
      </c>
      <c r="T216" s="2358" t="s">
        <v>527</v>
      </c>
      <c r="U216" s="2343"/>
      <c r="V216" s="6752"/>
      <c r="W216" s="6753"/>
      <c r="X216" s="6753"/>
      <c r="Y216" s="6753"/>
      <c r="Z216" s="6753"/>
      <c r="AA216" s="6753"/>
      <c r="AB216" s="6753"/>
      <c r="AC216" s="6754"/>
      <c r="AD216" s="6752" t="s">
        <v>566</v>
      </c>
      <c r="AE216" s="6753"/>
      <c r="AF216" s="6753"/>
      <c r="AG216" s="6753"/>
      <c r="AH216" s="6753"/>
      <c r="AI216" s="6753"/>
      <c r="AJ216" s="6753"/>
      <c r="AK216" s="6753"/>
      <c r="AL216" s="6752"/>
      <c r="AM216" s="6753"/>
      <c r="AN216" s="6753"/>
      <c r="AO216" s="6753"/>
      <c r="AP216" s="6753"/>
      <c r="AQ216" s="6753"/>
      <c r="AR216" s="6753"/>
      <c r="AS216" s="6754"/>
      <c r="AT216" s="6752"/>
      <c r="AU216" s="6753"/>
      <c r="AV216" s="6753"/>
      <c r="AW216" s="6753"/>
      <c r="AX216" s="6753"/>
      <c r="AY216" s="6753"/>
      <c r="AZ216" s="6753"/>
      <c r="BA216" s="6754"/>
      <c r="BB216" s="6752"/>
      <c r="BC216" s="6753"/>
      <c r="BD216" s="6753"/>
      <c r="BE216" s="6753"/>
      <c r="BF216" s="6753"/>
      <c r="BG216" s="6753"/>
      <c r="BH216" s="6753"/>
      <c r="BI216" s="6754"/>
      <c r="BJ216" s="6752"/>
      <c r="BK216" s="6753"/>
      <c r="BL216" s="6753"/>
      <c r="BM216" s="6753"/>
      <c r="BN216" s="6753"/>
      <c r="BO216" s="6753"/>
      <c r="BP216" s="6753"/>
      <c r="BQ216" s="6754"/>
      <c r="BR216" s="6752"/>
      <c r="BS216" s="6753"/>
      <c r="BT216" s="6753"/>
      <c r="BU216" s="6753"/>
      <c r="BV216" s="6753"/>
      <c r="BW216" s="6753"/>
      <c r="BX216" s="6753"/>
      <c r="BY216" s="6754"/>
      <c r="BZ216" s="6754"/>
      <c r="CA216" s="2344" t="s">
        <v>528</v>
      </c>
      <c r="CB216" s="2211"/>
      <c r="CC216" s="2345"/>
      <c r="CD216" s="2345" t="str">
        <f t="shared" si="6"/>
        <v>Группа потребителей</v>
      </c>
      <c r="CE216" s="2345"/>
      <c r="CF216" s="2345"/>
    </row>
    <row r="217" spans="1:84" s="4898" customFormat="1" ht="21" customHeight="1">
      <c r="A217" s="2335"/>
      <c r="B217" s="2335"/>
      <c r="C217" s="2335"/>
      <c r="D217" s="2335"/>
      <c r="E217" s="6764"/>
      <c r="F217" s="6764" t="s">
        <v>157</v>
      </c>
      <c r="G217" s="6764"/>
      <c r="H217" s="6764"/>
      <c r="I217" s="6784"/>
      <c r="J217" s="6784"/>
      <c r="K217" s="6761" t="str">
        <f>J216&amp;".1"</f>
        <v>1.15.1.1.1.1.1</v>
      </c>
      <c r="L217" s="2336" t="s">
        <v>529</v>
      </c>
      <c r="M217" s="2205"/>
      <c r="N217" s="2205"/>
      <c r="O217" s="2205"/>
      <c r="P217" s="6762"/>
      <c r="Q217" s="6762"/>
      <c r="R217" s="2357">
        <v>1</v>
      </c>
      <c r="S217" s="2341" t="str">
        <f>$K217</f>
        <v>1.15.1.1.1.1.1</v>
      </c>
      <c r="T217" s="2360" t="s">
        <v>567</v>
      </c>
      <c r="U217" s="2343"/>
      <c r="V217" s="2763"/>
      <c r="W217" s="2763"/>
      <c r="X217" s="2763"/>
      <c r="Y217" s="2764"/>
      <c r="Z217" s="6768"/>
      <c r="AA217" s="6769" t="s">
        <v>61</v>
      </c>
      <c r="AB217" s="6768"/>
      <c r="AC217" s="6769" t="s">
        <v>61</v>
      </c>
      <c r="AD217" s="2078">
        <v>4673.8599999999997</v>
      </c>
      <c r="AE217" s="2079"/>
      <c r="AF217" s="2078"/>
      <c r="AG217" s="2080"/>
      <c r="AH217" s="6766">
        <v>45292.716493055559</v>
      </c>
      <c r="AI217" s="6610" t="s">
        <v>61</v>
      </c>
      <c r="AJ217" s="6766">
        <v>45838.716562499998</v>
      </c>
      <c r="AK217" s="6610" t="s">
        <v>61</v>
      </c>
      <c r="AL217" s="2078">
        <v>5150.68</v>
      </c>
      <c r="AM217" s="2079"/>
      <c r="AN217" s="2078"/>
      <c r="AO217" s="2080"/>
      <c r="AP217" s="6766">
        <v>45839.717430555553</v>
      </c>
      <c r="AQ217" s="6610" t="s">
        <v>61</v>
      </c>
      <c r="AR217" s="6766">
        <v>46203.717604166668</v>
      </c>
      <c r="AS217" s="6610" t="s">
        <v>61</v>
      </c>
      <c r="AT217" s="2078">
        <v>5320.07</v>
      </c>
      <c r="AU217" s="2079"/>
      <c r="AV217" s="2078"/>
      <c r="AW217" s="2080"/>
      <c r="AX217" s="6766">
        <v>46204.718240740738</v>
      </c>
      <c r="AY217" s="6610" t="s">
        <v>61</v>
      </c>
      <c r="AZ217" s="6766">
        <v>46568.718518518515</v>
      </c>
      <c r="BA217" s="6610" t="s">
        <v>61</v>
      </c>
      <c r="BB217" s="2078">
        <v>5491.25</v>
      </c>
      <c r="BC217" s="2079"/>
      <c r="BD217" s="2078"/>
      <c r="BE217" s="2080"/>
      <c r="BF217" s="6766">
        <v>46569.718819444446</v>
      </c>
      <c r="BG217" s="6610" t="s">
        <v>61</v>
      </c>
      <c r="BH217" s="6766">
        <v>46934.719027777777</v>
      </c>
      <c r="BI217" s="6610" t="s">
        <v>61</v>
      </c>
      <c r="BJ217" s="2078">
        <v>5667.99</v>
      </c>
      <c r="BK217" s="2079"/>
      <c r="BL217" s="2078"/>
      <c r="BM217" s="2080"/>
      <c r="BN217" s="6766">
        <v>46935.719490740739</v>
      </c>
      <c r="BO217" s="6610" t="s">
        <v>61</v>
      </c>
      <c r="BP217" s="6766">
        <v>47118.719756944447</v>
      </c>
      <c r="BQ217" s="6610" t="s">
        <v>56</v>
      </c>
      <c r="BR217" s="2763"/>
      <c r="BS217" s="2763"/>
      <c r="BT217" s="2763"/>
      <c r="BU217" s="2764"/>
      <c r="BV217" s="6768"/>
      <c r="BW217" s="6769" t="s">
        <v>61</v>
      </c>
      <c r="BX217" s="6768"/>
      <c r="BY217" s="6769" t="s">
        <v>61</v>
      </c>
      <c r="BZ217" s="2079"/>
      <c r="CA217" s="6758" t="s">
        <v>530</v>
      </c>
      <c r="CB217" s="2211" t="e">
        <f ca="1">STRCHECKDATE(V218:BZ218)</f>
        <v>#NAME?</v>
      </c>
      <c r="CC217" s="2345"/>
      <c r="CD217" s="2345" t="str">
        <f t="shared" si="6"/>
        <v>вода</v>
      </c>
      <c r="CE217" s="2345"/>
      <c r="CF217" s="2345"/>
    </row>
    <row r="218" spans="1:84" s="4899" customFormat="1" ht="0.75" customHeight="1">
      <c r="A218" s="2335"/>
      <c r="B218" s="2335"/>
      <c r="C218" s="2335"/>
      <c r="D218" s="2335"/>
      <c r="E218" s="6764"/>
      <c r="F218" s="6764" t="s">
        <v>157</v>
      </c>
      <c r="G218" s="6764"/>
      <c r="H218" s="6764"/>
      <c r="I218" s="6784"/>
      <c r="J218" s="6784"/>
      <c r="K218" s="6761"/>
      <c r="L218" s="2336"/>
      <c r="M218" s="2205"/>
      <c r="N218" s="2205"/>
      <c r="O218" s="2205"/>
      <c r="P218" s="6762"/>
      <c r="Q218" s="6762"/>
      <c r="R218" s="2357"/>
      <c r="S218" s="2362"/>
      <c r="T218" s="2343"/>
      <c r="U218" s="2343"/>
      <c r="V218" s="2763"/>
      <c r="W218" s="2763"/>
      <c r="X218" s="2763"/>
      <c r="Y218" s="2082" t="str">
        <f>Z217&amp;"-"&amp;AB217</f>
        <v>-</v>
      </c>
      <c r="Z218" s="6769"/>
      <c r="AA218" s="6769"/>
      <c r="AB218" s="6769"/>
      <c r="AC218" s="6769"/>
      <c r="AD218" s="2079"/>
      <c r="AE218" s="2079"/>
      <c r="AF218" s="2079"/>
      <c r="AG218" s="2082" t="str">
        <f>AH217&amp;"-"&amp;AJ217</f>
        <v>45292,7164930556-45838,7165625</v>
      </c>
      <c r="AH218" s="6767"/>
      <c r="AI218" s="6610"/>
      <c r="AJ218" s="6767"/>
      <c r="AK218" s="6610"/>
      <c r="AL218" s="2079"/>
      <c r="AM218" s="2079"/>
      <c r="AN218" s="2079"/>
      <c r="AO218" s="2082" t="str">
        <f>AP217&amp;"-"&amp;AR217</f>
        <v>45839,7174305556-46203,7176041667</v>
      </c>
      <c r="AP218" s="6767"/>
      <c r="AQ218" s="6610"/>
      <c r="AR218" s="6767"/>
      <c r="AS218" s="6610"/>
      <c r="AT218" s="2079"/>
      <c r="AU218" s="2079"/>
      <c r="AV218" s="2079"/>
      <c r="AW218" s="2082" t="str">
        <f>AX217&amp;"-"&amp;AZ217</f>
        <v>46204,7182407407-46568,7185185185</v>
      </c>
      <c r="AX218" s="6767"/>
      <c r="AY218" s="6610"/>
      <c r="AZ218" s="6767"/>
      <c r="BA218" s="6610"/>
      <c r="BB218" s="2079"/>
      <c r="BC218" s="2079"/>
      <c r="BD218" s="2079"/>
      <c r="BE218" s="2082" t="str">
        <f>BF217&amp;"-"&amp;BH217</f>
        <v>46569,7188194444-46934,7190277778</v>
      </c>
      <c r="BF218" s="6767"/>
      <c r="BG218" s="6610"/>
      <c r="BH218" s="6767"/>
      <c r="BI218" s="6610"/>
      <c r="BJ218" s="2079"/>
      <c r="BK218" s="2079"/>
      <c r="BL218" s="2079"/>
      <c r="BM218" s="2082" t="str">
        <f>BN217&amp;"-"&amp;BP217</f>
        <v>46935,7194907407-47118,7197569444</v>
      </c>
      <c r="BN218" s="6767"/>
      <c r="BO218" s="6610"/>
      <c r="BP218" s="6767"/>
      <c r="BQ218" s="6610"/>
      <c r="BR218" s="2763"/>
      <c r="BS218" s="2763"/>
      <c r="BT218" s="2763"/>
      <c r="BU218" s="2082" t="str">
        <f>BV217&amp;"-"&amp;BX217</f>
        <v>-</v>
      </c>
      <c r="BV218" s="6769"/>
      <c r="BW218" s="6769"/>
      <c r="BX218" s="6769"/>
      <c r="BY218" s="6769"/>
      <c r="BZ218" s="2079"/>
      <c r="CA218" s="6759"/>
      <c r="CB218" s="2211"/>
      <c r="CC218" s="2345"/>
      <c r="CD218" s="2345" t="str">
        <f t="shared" si="6"/>
        <v/>
      </c>
      <c r="CE218" s="2345"/>
      <c r="CF218" s="2345"/>
    </row>
    <row r="219" spans="1:84" s="4900" customFormat="1" ht="15" customHeight="1">
      <c r="A219" s="2335"/>
      <c r="B219" s="2335"/>
      <c r="C219" s="2335"/>
      <c r="D219" s="2335"/>
      <c r="E219" s="6764"/>
      <c r="F219" s="6764" t="s">
        <v>157</v>
      </c>
      <c r="G219" s="6764"/>
      <c r="H219" s="6764"/>
      <c r="I219" s="6784"/>
      <c r="J219" s="6761"/>
      <c r="K219" s="2335"/>
      <c r="L219" s="2336"/>
      <c r="M219" s="2205"/>
      <c r="N219" s="2205"/>
      <c r="O219" s="2352"/>
      <c r="P219" s="6762"/>
      <c r="Q219" s="6762"/>
      <c r="R219" s="2354"/>
      <c r="S219" s="4901"/>
      <c r="T219" s="4902" t="s">
        <v>531</v>
      </c>
      <c r="U219" s="4903"/>
      <c r="V219" s="4904"/>
      <c r="W219" s="4905"/>
      <c r="X219" s="4906"/>
      <c r="Y219" s="4907"/>
      <c r="Z219" s="4908"/>
      <c r="AA219" s="4909"/>
      <c r="AB219" s="4910"/>
      <c r="AC219" s="4911"/>
      <c r="AD219" s="4912"/>
      <c r="AE219" s="4913"/>
      <c r="AF219" s="4914"/>
      <c r="AG219" s="4915"/>
      <c r="AH219" s="4916"/>
      <c r="AI219" s="4917"/>
      <c r="AJ219" s="4918"/>
      <c r="AK219" s="4919"/>
      <c r="AL219" s="4920"/>
      <c r="AM219" s="4921"/>
      <c r="AN219" s="4922"/>
      <c r="AO219" s="4923"/>
      <c r="AP219" s="4924"/>
      <c r="AQ219" s="4925"/>
      <c r="AR219" s="4926"/>
      <c r="AS219" s="4927"/>
      <c r="AT219" s="4928"/>
      <c r="AU219" s="4929"/>
      <c r="AV219" s="4930"/>
      <c r="AW219" s="4931"/>
      <c r="AX219" s="4932"/>
      <c r="AY219" s="4933"/>
      <c r="AZ219" s="4934"/>
      <c r="BA219" s="4935"/>
      <c r="BB219" s="4936"/>
      <c r="BC219" s="4937"/>
      <c r="BD219" s="4938"/>
      <c r="BE219" s="4939"/>
      <c r="BF219" s="4940"/>
      <c r="BG219" s="4941"/>
      <c r="BH219" s="4942"/>
      <c r="BI219" s="4943"/>
      <c r="BJ219" s="4944"/>
      <c r="BK219" s="4945"/>
      <c r="BL219" s="4946"/>
      <c r="BM219" s="4947"/>
      <c r="BN219" s="4948"/>
      <c r="BO219" s="4949"/>
      <c r="BP219" s="4950"/>
      <c r="BQ219" s="4951"/>
      <c r="BR219" s="4952"/>
      <c r="BS219" s="4953"/>
      <c r="BT219" s="4954"/>
      <c r="BU219" s="4955"/>
      <c r="BV219" s="4956"/>
      <c r="BW219" s="4957"/>
      <c r="BX219" s="4958"/>
      <c r="BY219" s="4959"/>
      <c r="BZ219" s="4960"/>
      <c r="CA219" s="6760"/>
      <c r="CB219" s="2211"/>
      <c r="CC219" s="2345"/>
      <c r="CD219" s="2345" t="str">
        <f t="shared" si="6"/>
        <v>Добавить вид теплоносителя (параметры теплоносителя)</v>
      </c>
      <c r="CE219" s="2345"/>
      <c r="CF219" s="2345"/>
    </row>
    <row r="220" spans="1:84" s="4961" customFormat="1" ht="15" customHeight="1">
      <c r="A220" s="2335"/>
      <c r="B220" s="2335"/>
      <c r="C220" s="2335"/>
      <c r="D220" s="2335"/>
      <c r="E220" s="6764"/>
      <c r="F220" s="6764" t="s">
        <v>157</v>
      </c>
      <c r="G220" s="6764"/>
      <c r="H220" s="6764"/>
      <c r="I220" s="6761"/>
      <c r="J220" s="2335"/>
      <c r="K220" s="2335"/>
      <c r="L220" s="2336"/>
      <c r="M220" s="2205"/>
      <c r="N220" s="2352"/>
      <c r="O220" s="2352"/>
      <c r="P220" s="6762"/>
      <c r="Q220" s="2353"/>
      <c r="R220" s="2354"/>
      <c r="S220" s="4962"/>
      <c r="T220" s="4963" t="s">
        <v>532</v>
      </c>
      <c r="U220" s="4964"/>
      <c r="V220" s="4965"/>
      <c r="W220" s="4966"/>
      <c r="X220" s="4967"/>
      <c r="Y220" s="4968"/>
      <c r="Z220" s="4969"/>
      <c r="AA220" s="4970"/>
      <c r="AB220" s="4971"/>
      <c r="AC220" s="4972"/>
      <c r="AD220" s="4973"/>
      <c r="AE220" s="4974"/>
      <c r="AF220" s="4975"/>
      <c r="AG220" s="4976"/>
      <c r="AH220" s="4977"/>
      <c r="AI220" s="4978"/>
      <c r="AJ220" s="4979"/>
      <c r="AK220" s="4980"/>
      <c r="AL220" s="4981"/>
      <c r="AM220" s="4982"/>
      <c r="AN220" s="4983"/>
      <c r="AO220" s="4984"/>
      <c r="AP220" s="4985"/>
      <c r="AQ220" s="4986"/>
      <c r="AR220" s="4987"/>
      <c r="AS220" s="4988"/>
      <c r="AT220" s="4989"/>
      <c r="AU220" s="4990"/>
      <c r="AV220" s="4991"/>
      <c r="AW220" s="4992"/>
      <c r="AX220" s="4993"/>
      <c r="AY220" s="4994"/>
      <c r="AZ220" s="4995"/>
      <c r="BA220" s="4996"/>
      <c r="BB220" s="4997"/>
      <c r="BC220" s="4998"/>
      <c r="BD220" s="4999"/>
      <c r="BE220" s="5000"/>
      <c r="BF220" s="5001"/>
      <c r="BG220" s="5002"/>
      <c r="BH220" s="5003"/>
      <c r="BI220" s="5004"/>
      <c r="BJ220" s="5005"/>
      <c r="BK220" s="5006"/>
      <c r="BL220" s="5007"/>
      <c r="BM220" s="5008"/>
      <c r="BN220" s="5009"/>
      <c r="BO220" s="5010"/>
      <c r="BP220" s="5011"/>
      <c r="BQ220" s="5012"/>
      <c r="BR220" s="5013"/>
      <c r="BS220" s="5014"/>
      <c r="BT220" s="5015"/>
      <c r="BU220" s="5016"/>
      <c r="BV220" s="5017"/>
      <c r="BW220" s="5018"/>
      <c r="BX220" s="5019"/>
      <c r="BY220" s="5020"/>
      <c r="BZ220" s="5021"/>
      <c r="CA220" s="5022"/>
      <c r="CB220" s="2211"/>
      <c r="CC220" s="2345"/>
      <c r="CD220" s="2345" t="str">
        <f t="shared" si="6"/>
        <v>Добавить группу потребителей</v>
      </c>
      <c r="CE220" s="2345"/>
      <c r="CF220" s="2345"/>
    </row>
    <row r="221" spans="1:84" s="5023" customFormat="1" ht="14.25" customHeight="1">
      <c r="A221" s="2335"/>
      <c r="B221" s="2335"/>
      <c r="C221" s="2335"/>
      <c r="D221" s="2335"/>
      <c r="E221" s="6764"/>
      <c r="F221" s="6764" t="s">
        <v>157</v>
      </c>
      <c r="G221" s="6764"/>
      <c r="H221" s="6763"/>
      <c r="I221" s="2335"/>
      <c r="J221" s="2335"/>
      <c r="K221" s="2335"/>
      <c r="L221" s="2336"/>
      <c r="M221" s="2337"/>
      <c r="N221" s="2337"/>
      <c r="O221" s="2205"/>
      <c r="P221" s="2487"/>
      <c r="Q221" s="2488"/>
      <c r="R221" s="2489"/>
      <c r="S221" s="5024"/>
      <c r="T221" s="5025" t="s">
        <v>533</v>
      </c>
      <c r="U221" s="5026"/>
      <c r="V221" s="5027"/>
      <c r="W221" s="5028"/>
      <c r="X221" s="5029"/>
      <c r="Y221" s="5030"/>
      <c r="Z221" s="5031"/>
      <c r="AA221" s="5032"/>
      <c r="AB221" s="5033"/>
      <c r="AC221" s="5034"/>
      <c r="AD221" s="5035"/>
      <c r="AE221" s="5036"/>
      <c r="AF221" s="5037"/>
      <c r="AG221" s="5038"/>
      <c r="AH221" s="5039"/>
      <c r="AI221" s="5040"/>
      <c r="AJ221" s="5041"/>
      <c r="AK221" s="5042"/>
      <c r="AL221" s="5043"/>
      <c r="AM221" s="5044"/>
      <c r="AN221" s="5045"/>
      <c r="AO221" s="5046"/>
      <c r="AP221" s="5047"/>
      <c r="AQ221" s="5048"/>
      <c r="AR221" s="5049"/>
      <c r="AS221" s="5050"/>
      <c r="AT221" s="5051"/>
      <c r="AU221" s="5052"/>
      <c r="AV221" s="5053"/>
      <c r="AW221" s="5054"/>
      <c r="AX221" s="5055"/>
      <c r="AY221" s="5056"/>
      <c r="AZ221" s="5057"/>
      <c r="BA221" s="5058"/>
      <c r="BB221" s="5059"/>
      <c r="BC221" s="5060"/>
      <c r="BD221" s="5061"/>
      <c r="BE221" s="5062"/>
      <c r="BF221" s="5063"/>
      <c r="BG221" s="5064"/>
      <c r="BH221" s="5065"/>
      <c r="BI221" s="5066"/>
      <c r="BJ221" s="5067"/>
      <c r="BK221" s="5068"/>
      <c r="BL221" s="5069"/>
      <c r="BM221" s="5070"/>
      <c r="BN221" s="5071"/>
      <c r="BO221" s="5072"/>
      <c r="BP221" s="5073"/>
      <c r="BQ221" s="5074"/>
      <c r="BR221" s="5075"/>
      <c r="BS221" s="5076"/>
      <c r="BT221" s="5077"/>
      <c r="BU221" s="5078"/>
      <c r="BV221" s="5079"/>
      <c r="BW221" s="5080"/>
      <c r="BX221" s="5081"/>
      <c r="BY221" s="5082"/>
      <c r="BZ221" s="5083"/>
      <c r="CA221" s="5084"/>
      <c r="CB221" s="2211"/>
      <c r="CC221" s="2345"/>
      <c r="CD221" s="2345" t="str">
        <f t="shared" si="6"/>
        <v>Добавить схему подключения</v>
      </c>
      <c r="CE221" s="2345"/>
      <c r="CF221" s="2345"/>
    </row>
    <row r="222" spans="1:84" s="5085" customFormat="1" ht="0.75" customHeight="1">
      <c r="A222" s="2552"/>
      <c r="B222" s="2552"/>
      <c r="C222" s="2552"/>
      <c r="D222" s="2552"/>
      <c r="E222" s="6764"/>
      <c r="F222" s="6764" t="s">
        <v>157</v>
      </c>
      <c r="G222" s="6763"/>
      <c r="H222" s="2552"/>
      <c r="I222" s="2552"/>
      <c r="J222" s="2552"/>
      <c r="K222" s="2552"/>
      <c r="L222" s="2553"/>
      <c r="M222" s="2554"/>
      <c r="N222" s="2554"/>
      <c r="O222" s="2211"/>
      <c r="P222" s="2555"/>
      <c r="Q222" s="2556"/>
      <c r="R222" s="2555"/>
      <c r="S222" s="2557"/>
      <c r="T222" s="2558" t="s">
        <v>228</v>
      </c>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3"/>
      <c r="BE222" s="2203"/>
      <c r="BF222" s="2203"/>
      <c r="BG222" s="2203"/>
      <c r="BH222" s="2203"/>
      <c r="BI222" s="2203"/>
      <c r="BJ222" s="2203"/>
      <c r="BK222" s="2203"/>
      <c r="BL222" s="2203"/>
      <c r="BM222" s="2203"/>
      <c r="BN222" s="2203"/>
      <c r="BO222" s="2203"/>
      <c r="BP222" s="2203"/>
      <c r="BQ222" s="2203"/>
      <c r="BR222" s="2203"/>
      <c r="BS222" s="2203"/>
      <c r="BT222" s="2203"/>
      <c r="BU222" s="2203"/>
      <c r="BV222" s="2203"/>
      <c r="BW222" s="2203"/>
      <c r="BX222" s="2203"/>
      <c r="BY222" s="2203"/>
      <c r="BZ222" s="2203"/>
      <c r="CA222" s="2203"/>
      <c r="CB222" s="2211"/>
      <c r="CC222" s="2345"/>
      <c r="CD222" s="2345" t="str">
        <f t="shared" si="6"/>
        <v>Добавить источник для дифференциации</v>
      </c>
      <c r="CE222" s="2345"/>
      <c r="CF222" s="2345"/>
    </row>
    <row r="223" spans="1:84" s="5086" customFormat="1" ht="0.75" customHeight="1">
      <c r="A223" s="2552"/>
      <c r="B223" s="2552"/>
      <c r="C223" s="2552"/>
      <c r="D223" s="2552"/>
      <c r="E223" s="6764"/>
      <c r="F223" s="6763" t="s">
        <v>157</v>
      </c>
      <c r="G223" s="2552"/>
      <c r="H223" s="2552"/>
      <c r="I223" s="2552"/>
      <c r="J223" s="2552"/>
      <c r="K223" s="2552"/>
      <c r="L223" s="2553"/>
      <c r="M223" s="2560"/>
      <c r="N223" s="2560"/>
      <c r="O223" s="2211"/>
      <c r="P223" s="2555"/>
      <c r="Q223" s="2556"/>
      <c r="R223" s="2555"/>
      <c r="S223" s="2561"/>
      <c r="T223" s="2562" t="s">
        <v>229</v>
      </c>
      <c r="U223" s="2204"/>
      <c r="V223" s="2204"/>
      <c r="W223" s="2204"/>
      <c r="X223" s="2204"/>
      <c r="Y223" s="2204"/>
      <c r="Z223" s="2204"/>
      <c r="AA223" s="2204"/>
      <c r="AB223" s="2204"/>
      <c r="AC223" s="2204"/>
      <c r="AD223" s="2204"/>
      <c r="AE223" s="2204"/>
      <c r="AF223" s="2204"/>
      <c r="AG223" s="2204"/>
      <c r="AH223" s="2204"/>
      <c r="AI223" s="2204"/>
      <c r="AJ223" s="2204"/>
      <c r="AK223" s="2204"/>
      <c r="AL223" s="2204"/>
      <c r="AM223" s="2204"/>
      <c r="AN223" s="2204"/>
      <c r="AO223" s="2204"/>
      <c r="AP223" s="2204"/>
      <c r="AQ223" s="2204"/>
      <c r="AR223" s="2204"/>
      <c r="AS223" s="2204"/>
      <c r="AT223" s="2204"/>
      <c r="AU223" s="2204"/>
      <c r="AV223" s="2204"/>
      <c r="AW223" s="2204"/>
      <c r="AX223" s="2204"/>
      <c r="AY223" s="2204"/>
      <c r="AZ223" s="2204"/>
      <c r="BA223" s="2204"/>
      <c r="BB223" s="2204"/>
      <c r="BC223" s="2204"/>
      <c r="BD223" s="2204"/>
      <c r="BE223" s="2204"/>
      <c r="BF223" s="2204"/>
      <c r="BG223" s="2204"/>
      <c r="BH223" s="2204"/>
      <c r="BI223" s="2204"/>
      <c r="BJ223" s="2204"/>
      <c r="BK223" s="2204"/>
      <c r="BL223" s="2204"/>
      <c r="BM223" s="2204"/>
      <c r="BN223" s="2204"/>
      <c r="BO223" s="2204"/>
      <c r="BP223" s="2204"/>
      <c r="BQ223" s="2204"/>
      <c r="BR223" s="2204"/>
      <c r="BS223" s="2204"/>
      <c r="BT223" s="2204"/>
      <c r="BU223" s="2204"/>
      <c r="BV223" s="2204"/>
      <c r="BW223" s="2204"/>
      <c r="BX223" s="2204"/>
      <c r="BY223" s="2204"/>
      <c r="BZ223" s="2204"/>
      <c r="CA223" s="2204"/>
      <c r="CB223" s="2211"/>
      <c r="CC223" s="2345"/>
      <c r="CD223" s="2345" t="str">
        <f t="shared" si="6"/>
        <v>Добавить централизованную систему для дифференциации</v>
      </c>
      <c r="CE223" s="2345"/>
      <c r="CF223" s="2345"/>
    </row>
    <row r="224" spans="1:84" s="1817" customFormat="1" ht="0.75" customHeight="1">
      <c r="A224" s="1260" t="s">
        <v>224</v>
      </c>
      <c r="B224" s="1260"/>
      <c r="C224" s="1260"/>
      <c r="D224" s="1260"/>
      <c r="E224" s="6763"/>
      <c r="F224" s="1260"/>
      <c r="G224" s="1260"/>
      <c r="H224" s="1260"/>
      <c r="I224" s="1260"/>
      <c r="J224" s="1260"/>
      <c r="K224" s="1260"/>
      <c r="L224" s="1263"/>
      <c r="M224" s="1239"/>
      <c r="N224" s="1239"/>
      <c r="O224" s="444"/>
      <c r="P224" s="313"/>
      <c r="Q224" s="1261"/>
      <c r="R224" s="313"/>
      <c r="S224" s="1240"/>
      <c r="T224" s="1243" t="s">
        <v>272</v>
      </c>
      <c r="U224" s="1242"/>
      <c r="V224" s="1242"/>
      <c r="W224" s="1242"/>
      <c r="X224" s="1242"/>
      <c r="Y224" s="1242"/>
      <c r="Z224" s="1242"/>
      <c r="AA224" s="1242"/>
      <c r="AB224" s="1242"/>
      <c r="AC224" s="1242"/>
      <c r="AD224" s="1242"/>
      <c r="AE224" s="1242"/>
      <c r="AF224" s="1242"/>
      <c r="AG224" s="1242"/>
      <c r="AH224" s="1242"/>
      <c r="AI224" s="1242"/>
      <c r="AJ224" s="1242"/>
      <c r="AK224" s="1242"/>
      <c r="AL224" s="2204"/>
      <c r="AM224" s="2204"/>
      <c r="AN224" s="2204"/>
      <c r="AO224" s="2204"/>
      <c r="AP224" s="2204"/>
      <c r="AQ224" s="2204"/>
      <c r="AR224" s="2204"/>
      <c r="AS224" s="2204"/>
      <c r="AT224" s="2204"/>
      <c r="AU224" s="2204"/>
      <c r="AV224" s="2204"/>
      <c r="AW224" s="2204"/>
      <c r="AX224" s="2204"/>
      <c r="AY224" s="2204"/>
      <c r="AZ224" s="2204"/>
      <c r="BA224" s="2204"/>
      <c r="BB224" s="2204"/>
      <c r="BC224" s="2204"/>
      <c r="BD224" s="2204"/>
      <c r="BE224" s="2204"/>
      <c r="BF224" s="2204"/>
      <c r="BG224" s="2204"/>
      <c r="BH224" s="2204"/>
      <c r="BI224" s="2204"/>
      <c r="BJ224" s="2204"/>
      <c r="BK224" s="2204"/>
      <c r="BL224" s="2204"/>
      <c r="BM224" s="2204"/>
      <c r="BN224" s="2204"/>
      <c r="BO224" s="2204"/>
      <c r="BP224" s="2204"/>
      <c r="BQ224" s="2204"/>
      <c r="BR224" s="2204"/>
      <c r="BS224" s="2204"/>
      <c r="BT224" s="2204"/>
      <c r="BU224" s="2204"/>
      <c r="BV224" s="2204"/>
      <c r="BW224" s="2204"/>
      <c r="BX224" s="2204"/>
      <c r="BY224" s="2204"/>
      <c r="BZ224" s="1242"/>
      <c r="CA224" s="1242"/>
      <c r="CC224" s="426"/>
      <c r="CD224" s="426" t="str">
        <f t="shared" si="6"/>
        <v>Добавить территорию для дифференциации</v>
      </c>
      <c r="CE224" s="426"/>
      <c r="CF224" s="426"/>
    </row>
    <row r="225" spans="1:84" s="2067" customFormat="1" ht="0.75" customHeight="1">
      <c r="A225" s="1232"/>
      <c r="B225" s="1232"/>
      <c r="C225" s="1232"/>
      <c r="D225" s="1232"/>
      <c r="E225" s="1260"/>
      <c r="F225" s="1232"/>
      <c r="G225" s="1232"/>
      <c r="H225" s="1232"/>
      <c r="I225" s="1232"/>
      <c r="J225" s="1232"/>
      <c r="K225" s="1232"/>
      <c r="L225" s="1256"/>
      <c r="M225" s="1239"/>
      <c r="N225" s="1239"/>
      <c r="P225" s="1234"/>
      <c r="Q225" s="1235"/>
      <c r="R225" s="1234"/>
      <c r="S225" s="1240"/>
      <c r="T225" s="1243" t="s">
        <v>273</v>
      </c>
      <c r="U225" s="1242"/>
      <c r="V225" s="1242"/>
      <c r="W225" s="1242"/>
      <c r="X225" s="1242"/>
      <c r="Y225" s="1242"/>
      <c r="Z225" s="1242"/>
      <c r="AA225" s="1242"/>
      <c r="AB225" s="1242"/>
      <c r="AC225" s="1242"/>
      <c r="AD225" s="1242"/>
      <c r="AE225" s="1242"/>
      <c r="AF225" s="1242"/>
      <c r="AG225" s="1242"/>
      <c r="AH225" s="1242"/>
      <c r="AI225" s="1242"/>
      <c r="AJ225" s="1242"/>
      <c r="AK225" s="1242"/>
      <c r="AL225" s="2204"/>
      <c r="AM225" s="2204"/>
      <c r="AN225" s="2204"/>
      <c r="AO225" s="2204"/>
      <c r="AP225" s="2204"/>
      <c r="AQ225" s="2204"/>
      <c r="AR225" s="2204"/>
      <c r="AS225" s="2204"/>
      <c r="AT225" s="2204"/>
      <c r="AU225" s="2204"/>
      <c r="AV225" s="2204"/>
      <c r="AW225" s="2204"/>
      <c r="AX225" s="2204"/>
      <c r="AY225" s="2204"/>
      <c r="AZ225" s="2204"/>
      <c r="BA225" s="2204"/>
      <c r="BB225" s="2204"/>
      <c r="BC225" s="2204"/>
      <c r="BD225" s="2204"/>
      <c r="BE225" s="2204"/>
      <c r="BF225" s="2204"/>
      <c r="BG225" s="2204"/>
      <c r="BH225" s="2204"/>
      <c r="BI225" s="2204"/>
      <c r="BJ225" s="2204"/>
      <c r="BK225" s="2204"/>
      <c r="BL225" s="2204"/>
      <c r="BM225" s="2204"/>
      <c r="BN225" s="2204"/>
      <c r="BO225" s="2204"/>
      <c r="BP225" s="2204"/>
      <c r="BQ225" s="2204"/>
      <c r="BR225" s="2204"/>
      <c r="BS225" s="2204"/>
      <c r="BT225" s="2204"/>
      <c r="BU225" s="2204"/>
      <c r="BV225" s="2204"/>
      <c r="BW225" s="2204"/>
      <c r="BX225" s="2204"/>
      <c r="BY225" s="2204"/>
      <c r="BZ225" s="1242"/>
      <c r="CA225" s="1242"/>
      <c r="CC225" s="706"/>
      <c r="CD225" s="706" t="str">
        <f t="shared" si="6"/>
        <v>Добавить наименование тарифа</v>
      </c>
      <c r="CE225" s="706"/>
      <c r="CF225" s="706"/>
    </row>
    <row r="226" spans="1:84" ht="11.25" customHeight="1">
      <c r="M226" s="1060"/>
      <c r="N226" s="1060"/>
      <c r="O226" s="462"/>
      <c r="P226" s="1055"/>
      <c r="Q226" s="1055"/>
      <c r="R226" s="1055"/>
      <c r="S226" s="1055"/>
      <c r="AL226" s="2077"/>
      <c r="AM226" s="2077"/>
      <c r="AN226" s="2077"/>
      <c r="AO226" s="2077"/>
      <c r="AP226" s="2077"/>
      <c r="AQ226" s="2077"/>
      <c r="AR226" s="2077"/>
      <c r="AS226" s="2077"/>
      <c r="AT226" s="2077"/>
      <c r="AU226" s="2077"/>
      <c r="AV226" s="2077"/>
      <c r="AW226" s="2077"/>
      <c r="AX226" s="2077"/>
      <c r="AY226" s="2077"/>
      <c r="AZ226" s="2077"/>
      <c r="BA226" s="2077"/>
      <c r="BB226" s="2077"/>
      <c r="BC226" s="2077"/>
      <c r="BD226" s="2077"/>
      <c r="BE226" s="2077"/>
      <c r="BF226" s="2077"/>
      <c r="BG226" s="2077"/>
      <c r="BH226" s="2077"/>
      <c r="BI226" s="2077"/>
      <c r="BJ226" s="2077"/>
      <c r="BK226" s="2077"/>
      <c r="BL226" s="2077"/>
      <c r="BM226" s="2077"/>
      <c r="BN226" s="2077"/>
      <c r="BO226" s="2077"/>
      <c r="BP226" s="2077"/>
      <c r="BQ226" s="2077"/>
      <c r="BR226" s="2077"/>
      <c r="BS226" s="2077"/>
      <c r="BT226" s="2077"/>
      <c r="BU226" s="2077"/>
      <c r="BV226" s="2077"/>
      <c r="BW226" s="2077"/>
      <c r="BX226" s="2077"/>
      <c r="BY226" s="2077"/>
      <c r="CB226" s="1055"/>
      <c r="CC226" s="1055"/>
      <c r="CD226" s="1055"/>
      <c r="CE226" s="1055"/>
      <c r="CF226" s="1055"/>
    </row>
    <row r="227" spans="1:84" ht="27" customHeight="1">
      <c r="O227" s="462"/>
      <c r="S227" s="1164"/>
      <c r="T227" s="6783"/>
      <c r="U227" s="6783"/>
      <c r="V227" s="6783"/>
      <c r="W227" s="6783"/>
      <c r="X227" s="6783"/>
      <c r="Y227" s="6783"/>
      <c r="Z227" s="6783"/>
      <c r="AA227" s="6783"/>
      <c r="AB227" s="6783"/>
      <c r="AC227" s="6783"/>
      <c r="AD227" s="6783"/>
      <c r="AE227" s="6783"/>
      <c r="AF227" s="6783"/>
      <c r="AG227" s="6783"/>
      <c r="AH227" s="6783"/>
      <c r="AI227" s="6783"/>
      <c r="AJ227" s="6783"/>
      <c r="AK227" s="6783"/>
      <c r="AL227" s="6783"/>
      <c r="AM227" s="6783"/>
      <c r="AN227" s="6783"/>
      <c r="AO227" s="6783"/>
      <c r="AP227" s="6783"/>
      <c r="AQ227" s="6783"/>
      <c r="AR227" s="6783"/>
      <c r="AS227" s="6783"/>
      <c r="AT227" s="6783"/>
      <c r="AU227" s="6783"/>
      <c r="AV227" s="6783"/>
      <c r="AW227" s="6783"/>
      <c r="AX227" s="6783"/>
      <c r="AY227" s="6783"/>
      <c r="AZ227" s="6783"/>
      <c r="BA227" s="6783"/>
      <c r="BB227" s="6783"/>
      <c r="BC227" s="6783"/>
      <c r="BD227" s="6783"/>
      <c r="BE227" s="6783"/>
      <c r="BF227" s="6783"/>
      <c r="BG227" s="6783"/>
      <c r="BH227" s="6783"/>
      <c r="BI227" s="6783"/>
      <c r="BJ227" s="6783"/>
      <c r="BK227" s="6783"/>
      <c r="BL227" s="6783"/>
      <c r="BM227" s="6783"/>
      <c r="BN227" s="6783"/>
      <c r="BO227" s="6783"/>
      <c r="BP227" s="6783"/>
      <c r="BQ227" s="6783"/>
      <c r="BR227" s="6783"/>
      <c r="BS227" s="6783"/>
      <c r="BT227" s="6783"/>
      <c r="BU227" s="6783"/>
      <c r="BV227" s="6783"/>
      <c r="BW227" s="6783"/>
      <c r="BX227" s="6783"/>
      <c r="BY227" s="6783"/>
      <c r="BZ227" s="6783"/>
      <c r="CA227" s="6783"/>
    </row>
    <row r="228" spans="1:84" ht="62.25" customHeight="1">
      <c r="O228" s="462"/>
      <c r="T228" s="6783"/>
      <c r="U228" s="6783"/>
      <c r="V228" s="6783"/>
      <c r="W228" s="6783"/>
      <c r="X228" s="6783"/>
      <c r="Y228" s="6783"/>
      <c r="Z228" s="6783"/>
      <c r="AA228" s="6783"/>
      <c r="AB228" s="6783"/>
      <c r="AC228" s="6783"/>
      <c r="AD228" s="6783"/>
      <c r="AE228" s="6783"/>
      <c r="AF228" s="6783"/>
      <c r="AG228" s="6783"/>
      <c r="AH228" s="6783"/>
      <c r="AI228" s="6783"/>
      <c r="AJ228" s="6783"/>
      <c r="AK228" s="6783"/>
      <c r="AL228" s="6783"/>
      <c r="AM228" s="6783"/>
      <c r="AN228" s="6783"/>
      <c r="AO228" s="6783"/>
      <c r="AP228" s="6783"/>
      <c r="AQ228" s="6783"/>
      <c r="AR228" s="6783"/>
      <c r="AS228" s="6783"/>
      <c r="AT228" s="6783"/>
      <c r="AU228" s="6783"/>
      <c r="AV228" s="6783"/>
      <c r="AW228" s="6783"/>
      <c r="AX228" s="6783"/>
      <c r="AY228" s="6783"/>
      <c r="AZ228" s="6783"/>
      <c r="BA228" s="6783"/>
      <c r="BB228" s="6783"/>
      <c r="BC228" s="6783"/>
      <c r="BD228" s="6783"/>
      <c r="BE228" s="6783"/>
      <c r="BF228" s="6783"/>
      <c r="BG228" s="6783"/>
      <c r="BH228" s="6783"/>
      <c r="BI228" s="6783"/>
      <c r="BJ228" s="6783"/>
      <c r="BK228" s="6783"/>
      <c r="BL228" s="6783"/>
      <c r="BM228" s="6783"/>
      <c r="BN228" s="6783"/>
      <c r="BO228" s="6783"/>
      <c r="BP228" s="6783"/>
      <c r="BQ228" s="6783"/>
      <c r="BR228" s="6783"/>
      <c r="BS228" s="6783"/>
      <c r="BT228" s="6783"/>
      <c r="BU228" s="6783"/>
      <c r="BV228" s="6783"/>
      <c r="BW228" s="6783"/>
      <c r="BX228" s="6783"/>
      <c r="BY228" s="6783"/>
      <c r="BZ228" s="6783"/>
      <c r="CA228" s="6783"/>
    </row>
    <row r="229" spans="1:84" ht="14.25" customHeight="1">
      <c r="O229" s="462"/>
      <c r="AL229" s="2077"/>
      <c r="AM229" s="2077"/>
      <c r="AN229" s="2077"/>
      <c r="AO229" s="2077"/>
      <c r="AP229" s="2077"/>
      <c r="AQ229" s="2077"/>
      <c r="AR229" s="2077"/>
      <c r="AS229" s="2077"/>
      <c r="AT229" s="2077"/>
      <c r="AU229" s="2077"/>
      <c r="AV229" s="2077"/>
      <c r="AW229" s="2077"/>
      <c r="AX229" s="2077"/>
      <c r="AY229" s="2077"/>
      <c r="AZ229" s="2077"/>
      <c r="BA229" s="2077"/>
      <c r="BB229" s="2077"/>
      <c r="BC229" s="2077"/>
      <c r="BD229" s="2077"/>
      <c r="BE229" s="2077"/>
      <c r="BF229" s="2077"/>
      <c r="BG229" s="2077"/>
      <c r="BH229" s="2077"/>
      <c r="BI229" s="2077"/>
      <c r="BJ229" s="2077"/>
      <c r="BK229" s="2077"/>
      <c r="BL229" s="2077"/>
      <c r="BM229" s="2077"/>
      <c r="BN229" s="2077"/>
      <c r="BO229" s="2077"/>
      <c r="BP229" s="2077"/>
      <c r="BQ229" s="2077"/>
      <c r="BR229" s="2077"/>
      <c r="BS229" s="2077"/>
      <c r="BT229" s="2077"/>
      <c r="BU229" s="2077"/>
      <c r="BV229" s="2077"/>
      <c r="BW229" s="2077"/>
      <c r="BX229" s="2077"/>
      <c r="BY229" s="2077"/>
    </row>
    <row r="230" spans="1:84" ht="18" customHeight="1">
      <c r="O230" s="462"/>
      <c r="S230" s="1164"/>
      <c r="T230" s="6783"/>
      <c r="U230" s="6783"/>
      <c r="V230" s="6783"/>
      <c r="W230" s="6783"/>
      <c r="X230" s="6783"/>
      <c r="Y230" s="6783"/>
      <c r="Z230" s="6783"/>
      <c r="AA230" s="6783"/>
      <c r="AB230" s="6783"/>
      <c r="AC230" s="6783"/>
      <c r="AD230" s="6783"/>
      <c r="AE230" s="6783"/>
      <c r="AF230" s="6783"/>
      <c r="AG230" s="6783"/>
      <c r="AH230" s="6783"/>
      <c r="AI230" s="6783"/>
      <c r="AJ230" s="6783"/>
      <c r="AK230" s="6783"/>
      <c r="AL230" s="6783"/>
      <c r="AM230" s="6783"/>
      <c r="AN230" s="6783"/>
      <c r="AO230" s="6783"/>
      <c r="AP230" s="6783"/>
      <c r="AQ230" s="6783"/>
      <c r="AR230" s="6783"/>
      <c r="AS230" s="6783"/>
      <c r="AT230" s="6783"/>
      <c r="AU230" s="6783"/>
      <c r="AV230" s="6783"/>
      <c r="AW230" s="6783"/>
      <c r="AX230" s="6783"/>
      <c r="AY230" s="6783"/>
      <c r="AZ230" s="6783"/>
      <c r="BA230" s="6783"/>
      <c r="BB230" s="6783"/>
      <c r="BC230" s="6783"/>
      <c r="BD230" s="6783"/>
      <c r="BE230" s="6783"/>
      <c r="BF230" s="6783"/>
      <c r="BG230" s="6783"/>
      <c r="BH230" s="6783"/>
      <c r="BI230" s="6783"/>
      <c r="BJ230" s="6783"/>
      <c r="BK230" s="6783"/>
      <c r="BL230" s="6783"/>
      <c r="BM230" s="6783"/>
      <c r="BN230" s="6783"/>
      <c r="BO230" s="6783"/>
      <c r="BP230" s="6783"/>
      <c r="BQ230" s="6783"/>
      <c r="BR230" s="6783"/>
      <c r="BS230" s="6783"/>
      <c r="BT230" s="6783"/>
      <c r="BU230" s="6783"/>
      <c r="BV230" s="6783"/>
      <c r="BW230" s="6783"/>
      <c r="BX230" s="6783"/>
      <c r="BY230" s="6783"/>
      <c r="BZ230" s="6783"/>
      <c r="CA230" s="6783"/>
    </row>
    <row r="231" spans="1:84" ht="18" customHeight="1">
      <c r="O231" s="462"/>
      <c r="T231" s="6783"/>
      <c r="U231" s="6783"/>
      <c r="V231" s="6783"/>
      <c r="W231" s="6783"/>
      <c r="X231" s="6783"/>
      <c r="Y231" s="6783"/>
      <c r="Z231" s="6783"/>
      <c r="AA231" s="6783"/>
      <c r="AB231" s="6783"/>
      <c r="AC231" s="6783"/>
      <c r="AD231" s="6783"/>
      <c r="AE231" s="6783"/>
      <c r="AF231" s="6783"/>
      <c r="AG231" s="6783"/>
      <c r="AH231" s="6783"/>
      <c r="AI231" s="6783"/>
      <c r="AJ231" s="6783"/>
      <c r="AK231" s="6783"/>
      <c r="AL231" s="6783"/>
      <c r="AM231" s="6783"/>
      <c r="AN231" s="6783"/>
      <c r="AO231" s="6783"/>
      <c r="AP231" s="6783"/>
      <c r="AQ231" s="6783"/>
      <c r="AR231" s="6783"/>
      <c r="AS231" s="6783"/>
      <c r="AT231" s="6783"/>
      <c r="AU231" s="6783"/>
      <c r="AV231" s="6783"/>
      <c r="AW231" s="6783"/>
      <c r="AX231" s="6783"/>
      <c r="AY231" s="6783"/>
      <c r="AZ231" s="6783"/>
      <c r="BA231" s="6783"/>
      <c r="BB231" s="6783"/>
      <c r="BC231" s="6783"/>
      <c r="BD231" s="6783"/>
      <c r="BE231" s="6783"/>
      <c r="BF231" s="6783"/>
      <c r="BG231" s="6783"/>
      <c r="BH231" s="6783"/>
      <c r="BI231" s="6783"/>
      <c r="BJ231" s="6783"/>
      <c r="BK231" s="6783"/>
      <c r="BL231" s="6783"/>
      <c r="BM231" s="6783"/>
      <c r="BN231" s="6783"/>
      <c r="BO231" s="6783"/>
      <c r="BP231" s="6783"/>
      <c r="BQ231" s="6783"/>
      <c r="BR231" s="6783"/>
      <c r="BS231" s="6783"/>
      <c r="BT231" s="6783"/>
      <c r="BU231" s="6783"/>
      <c r="BV231" s="6783"/>
      <c r="BW231" s="6783"/>
      <c r="BX231" s="6783"/>
      <c r="BY231" s="6783"/>
      <c r="BZ231" s="6783"/>
      <c r="CA231" s="6783"/>
    </row>
    <row r="232" spans="1:84" ht="27.75" customHeight="1">
      <c r="O232" s="462"/>
      <c r="S232" s="1164"/>
      <c r="T232" s="6783"/>
      <c r="U232" s="6783"/>
      <c r="V232" s="6783"/>
      <c r="W232" s="6783"/>
      <c r="X232" s="6783"/>
      <c r="Y232" s="6783"/>
      <c r="Z232" s="6783"/>
      <c r="AA232" s="6783"/>
      <c r="AB232" s="6783"/>
      <c r="AC232" s="6783"/>
      <c r="AD232" s="6783"/>
      <c r="AE232" s="6783"/>
      <c r="AF232" s="6783"/>
      <c r="AG232" s="6783"/>
      <c r="AH232" s="6783"/>
      <c r="AI232" s="6783"/>
      <c r="AJ232" s="6783"/>
      <c r="AK232" s="6783"/>
      <c r="AL232" s="6783"/>
      <c r="AM232" s="6783"/>
      <c r="AN232" s="6783"/>
      <c r="AO232" s="6783"/>
      <c r="AP232" s="6783"/>
      <c r="AQ232" s="6783"/>
      <c r="AR232" s="6783"/>
      <c r="AS232" s="6783"/>
      <c r="AT232" s="6783"/>
      <c r="AU232" s="6783"/>
      <c r="AV232" s="6783"/>
      <c r="AW232" s="6783"/>
      <c r="AX232" s="6783"/>
      <c r="AY232" s="6783"/>
      <c r="AZ232" s="6783"/>
      <c r="BA232" s="6783"/>
      <c r="BB232" s="6783"/>
      <c r="BC232" s="6783"/>
      <c r="BD232" s="6783"/>
      <c r="BE232" s="6783"/>
      <c r="BF232" s="6783"/>
      <c r="BG232" s="6783"/>
      <c r="BH232" s="6783"/>
      <c r="BI232" s="6783"/>
      <c r="BJ232" s="6783"/>
      <c r="BK232" s="6783"/>
      <c r="BL232" s="6783"/>
      <c r="BM232" s="6783"/>
      <c r="BN232" s="6783"/>
      <c r="BO232" s="6783"/>
      <c r="BP232" s="6783"/>
      <c r="BQ232" s="6783"/>
      <c r="BR232" s="6783"/>
      <c r="BS232" s="6783"/>
      <c r="BT232" s="6783"/>
      <c r="BU232" s="6783"/>
      <c r="BV232" s="6783"/>
      <c r="BW232" s="6783"/>
      <c r="BX232" s="6783"/>
      <c r="BY232" s="6783"/>
      <c r="BZ232" s="6783"/>
      <c r="CA232" s="6783"/>
    </row>
  </sheetData>
  <sheetProtection formatColumns="0" formatRows="0" insertRows="0" deleteColumns="0" deleteRows="0" sort="0" autoFilter="0"/>
  <mergeCells count="885">
    <mergeCell ref="BV217:BV218"/>
    <mergeCell ref="BW217:BW218"/>
    <mergeCell ref="BX217:BX218"/>
    <mergeCell ref="BY217:BY218"/>
    <mergeCell ref="Z217:Z218"/>
    <mergeCell ref="AA217:AA218"/>
    <mergeCell ref="AB217:AB218"/>
    <mergeCell ref="AC217:AC218"/>
    <mergeCell ref="BV193:BV194"/>
    <mergeCell ref="BW193:BW194"/>
    <mergeCell ref="BX193:BX194"/>
    <mergeCell ref="BY193:BY194"/>
    <mergeCell ref="Z193:Z194"/>
    <mergeCell ref="AA193:AA194"/>
    <mergeCell ref="AB193:AB194"/>
    <mergeCell ref="AC193:AC194"/>
    <mergeCell ref="BV205:BV206"/>
    <mergeCell ref="BW205:BW206"/>
    <mergeCell ref="BX205:BX206"/>
    <mergeCell ref="BY205:BY206"/>
    <mergeCell ref="Z205:Z206"/>
    <mergeCell ref="AA205:AA206"/>
    <mergeCell ref="AB205:AB206"/>
    <mergeCell ref="AC205:AC206"/>
    <mergeCell ref="BX169:BX170"/>
    <mergeCell ref="BY169:BY170"/>
    <mergeCell ref="Z169:Z170"/>
    <mergeCell ref="AA169:AA170"/>
    <mergeCell ref="AB169:AB170"/>
    <mergeCell ref="AC169:AC170"/>
    <mergeCell ref="BV181:BV182"/>
    <mergeCell ref="BW181:BW182"/>
    <mergeCell ref="BX181:BX182"/>
    <mergeCell ref="BY181:BY182"/>
    <mergeCell ref="Z181:Z182"/>
    <mergeCell ref="AA181:AA182"/>
    <mergeCell ref="AB181:AB182"/>
    <mergeCell ref="AC181:AC182"/>
    <mergeCell ref="BV145:BV146"/>
    <mergeCell ref="BW145:BW146"/>
    <mergeCell ref="BX145:BX146"/>
    <mergeCell ref="BY145:BY146"/>
    <mergeCell ref="Z145:Z146"/>
    <mergeCell ref="AA145:AA146"/>
    <mergeCell ref="AB145:AB146"/>
    <mergeCell ref="AC145:AC146"/>
    <mergeCell ref="BV157:BV158"/>
    <mergeCell ref="BW157:BW158"/>
    <mergeCell ref="BX157:BX158"/>
    <mergeCell ref="BY157:BY158"/>
    <mergeCell ref="Z157:Z158"/>
    <mergeCell ref="AA157:AA158"/>
    <mergeCell ref="AB157:AB158"/>
    <mergeCell ref="AC157:AC158"/>
    <mergeCell ref="BV121:BV122"/>
    <mergeCell ref="BW121:BW122"/>
    <mergeCell ref="BX121:BX122"/>
    <mergeCell ref="BY121:BY122"/>
    <mergeCell ref="Z121:Z122"/>
    <mergeCell ref="AA121:AA122"/>
    <mergeCell ref="AB121:AB122"/>
    <mergeCell ref="AC121:AC122"/>
    <mergeCell ref="BV133:BV134"/>
    <mergeCell ref="BW133:BW134"/>
    <mergeCell ref="BX133:BX134"/>
    <mergeCell ref="BY133:BY134"/>
    <mergeCell ref="Z133:Z134"/>
    <mergeCell ref="AA133:AA134"/>
    <mergeCell ref="AB133:AB134"/>
    <mergeCell ref="AC133:AC134"/>
    <mergeCell ref="BV97:BV98"/>
    <mergeCell ref="BW97:BW98"/>
    <mergeCell ref="BX97:BX98"/>
    <mergeCell ref="BY97:BY98"/>
    <mergeCell ref="Z97:Z98"/>
    <mergeCell ref="AA97:AA98"/>
    <mergeCell ref="AB97:AB98"/>
    <mergeCell ref="AC97:AC98"/>
    <mergeCell ref="BV109:BV110"/>
    <mergeCell ref="BW109:BW110"/>
    <mergeCell ref="BX109:BX110"/>
    <mergeCell ref="BY109:BY110"/>
    <mergeCell ref="Z109:Z110"/>
    <mergeCell ref="AA109:AA110"/>
    <mergeCell ref="AB109:AB110"/>
    <mergeCell ref="AC109:AC110"/>
    <mergeCell ref="BV73:BV74"/>
    <mergeCell ref="BW73:BW74"/>
    <mergeCell ref="BX73:BX74"/>
    <mergeCell ref="BY73:BY74"/>
    <mergeCell ref="BV85:BV86"/>
    <mergeCell ref="BW85:BW86"/>
    <mergeCell ref="BX85:BX86"/>
    <mergeCell ref="BY85:BY86"/>
    <mergeCell ref="Z85:Z86"/>
    <mergeCell ref="AA85:AA86"/>
    <mergeCell ref="AB85:AB86"/>
    <mergeCell ref="AC85:AC86"/>
    <mergeCell ref="BW42:BX42"/>
    <mergeCell ref="BV49:BV50"/>
    <mergeCell ref="BW49:BW50"/>
    <mergeCell ref="BX49:BX50"/>
    <mergeCell ref="BY49:BY50"/>
    <mergeCell ref="BV61:BV62"/>
    <mergeCell ref="BW61:BW62"/>
    <mergeCell ref="BX61:BX62"/>
    <mergeCell ref="BY61:BY62"/>
    <mergeCell ref="BR35:BX35"/>
    <mergeCell ref="BR37:BY37"/>
    <mergeCell ref="BR39:BX39"/>
    <mergeCell ref="BY39:BY41"/>
    <mergeCell ref="BR40:BR41"/>
    <mergeCell ref="BS40:BS41"/>
    <mergeCell ref="BT40:BU40"/>
    <mergeCell ref="BV40:BX40"/>
    <mergeCell ref="BW41:BX41"/>
    <mergeCell ref="BR30:BX30"/>
    <mergeCell ref="BV8:BV9"/>
    <mergeCell ref="BW8:BW9"/>
    <mergeCell ref="BX8:BX9"/>
    <mergeCell ref="BY8:BY9"/>
    <mergeCell ref="BR29:BX29"/>
    <mergeCell ref="BR31:BX31"/>
    <mergeCell ref="BR32:BX32"/>
    <mergeCell ref="BR34:BX34"/>
    <mergeCell ref="BN193:BN194"/>
    <mergeCell ref="BO193:BO194"/>
    <mergeCell ref="BP193:BP194"/>
    <mergeCell ref="BQ193:BQ194"/>
    <mergeCell ref="BN205:BN206"/>
    <mergeCell ref="BO205:BO206"/>
    <mergeCell ref="BP205:BP206"/>
    <mergeCell ref="BQ205:BQ206"/>
    <mergeCell ref="BN217:BN218"/>
    <mergeCell ref="BO217:BO218"/>
    <mergeCell ref="BP217:BP218"/>
    <mergeCell ref="BQ217:BQ218"/>
    <mergeCell ref="BN157:BN158"/>
    <mergeCell ref="BO157:BO158"/>
    <mergeCell ref="BP157:BP158"/>
    <mergeCell ref="BQ157:BQ158"/>
    <mergeCell ref="BN169:BN170"/>
    <mergeCell ref="BO169:BO170"/>
    <mergeCell ref="BP169:BP170"/>
    <mergeCell ref="BQ169:BQ170"/>
    <mergeCell ref="BN181:BN182"/>
    <mergeCell ref="BO181:BO182"/>
    <mergeCell ref="BP181:BP182"/>
    <mergeCell ref="BQ181:BQ182"/>
    <mergeCell ref="BN121:BN122"/>
    <mergeCell ref="BO121:BO122"/>
    <mergeCell ref="BP121:BP122"/>
    <mergeCell ref="BQ121:BQ122"/>
    <mergeCell ref="BN133:BN134"/>
    <mergeCell ref="BO133:BO134"/>
    <mergeCell ref="BP133:BP134"/>
    <mergeCell ref="BQ133:BQ134"/>
    <mergeCell ref="BN145:BN146"/>
    <mergeCell ref="BO145:BO146"/>
    <mergeCell ref="BP145:BP146"/>
    <mergeCell ref="BQ145:BQ146"/>
    <mergeCell ref="BN85:BN86"/>
    <mergeCell ref="BO85:BO86"/>
    <mergeCell ref="BP85:BP86"/>
    <mergeCell ref="BQ85:BQ86"/>
    <mergeCell ref="BN97:BN98"/>
    <mergeCell ref="BO97:BO98"/>
    <mergeCell ref="BP97:BP98"/>
    <mergeCell ref="BQ97:BQ98"/>
    <mergeCell ref="BN109:BN110"/>
    <mergeCell ref="BO109:BO110"/>
    <mergeCell ref="BP109:BP110"/>
    <mergeCell ref="BQ109:BQ110"/>
    <mergeCell ref="BN49:BN50"/>
    <mergeCell ref="BO49:BO50"/>
    <mergeCell ref="BP49:BP50"/>
    <mergeCell ref="BQ49:BQ50"/>
    <mergeCell ref="BN61:BN62"/>
    <mergeCell ref="BO61:BO62"/>
    <mergeCell ref="BP61:BP62"/>
    <mergeCell ref="BQ61:BQ62"/>
    <mergeCell ref="BN73:BN74"/>
    <mergeCell ref="BO73:BO74"/>
    <mergeCell ref="BP73:BP74"/>
    <mergeCell ref="BQ73:BQ74"/>
    <mergeCell ref="BJ35:BP35"/>
    <mergeCell ref="BJ37:BQ37"/>
    <mergeCell ref="BJ39:BP39"/>
    <mergeCell ref="BQ39:BQ41"/>
    <mergeCell ref="BJ40:BJ41"/>
    <mergeCell ref="BK40:BK41"/>
    <mergeCell ref="BL40:BM40"/>
    <mergeCell ref="BN40:BP40"/>
    <mergeCell ref="BO41:BP41"/>
    <mergeCell ref="BJ30:BP30"/>
    <mergeCell ref="BN8:BN9"/>
    <mergeCell ref="BO8:BO9"/>
    <mergeCell ref="BP8:BP9"/>
    <mergeCell ref="BQ8:BQ9"/>
    <mergeCell ref="BJ29:BP29"/>
    <mergeCell ref="BJ31:BP31"/>
    <mergeCell ref="BJ32:BP32"/>
    <mergeCell ref="BJ34:BP34"/>
    <mergeCell ref="BF193:BF194"/>
    <mergeCell ref="BG193:BG194"/>
    <mergeCell ref="BH193:BH194"/>
    <mergeCell ref="BI193:BI194"/>
    <mergeCell ref="BF205:BF206"/>
    <mergeCell ref="BG205:BG206"/>
    <mergeCell ref="BH205:BH206"/>
    <mergeCell ref="BI205:BI206"/>
    <mergeCell ref="BF217:BF218"/>
    <mergeCell ref="BG217:BG218"/>
    <mergeCell ref="BH217:BH218"/>
    <mergeCell ref="BI217:BI218"/>
    <mergeCell ref="BF157:BF158"/>
    <mergeCell ref="BG157:BG158"/>
    <mergeCell ref="BH157:BH158"/>
    <mergeCell ref="BI157:BI158"/>
    <mergeCell ref="BF169:BF170"/>
    <mergeCell ref="BG169:BG170"/>
    <mergeCell ref="BH169:BH170"/>
    <mergeCell ref="BI169:BI170"/>
    <mergeCell ref="BF181:BF182"/>
    <mergeCell ref="BG181:BG182"/>
    <mergeCell ref="BH181:BH182"/>
    <mergeCell ref="BI181:BI182"/>
    <mergeCell ref="BF121:BF122"/>
    <mergeCell ref="BG121:BG122"/>
    <mergeCell ref="BH121:BH122"/>
    <mergeCell ref="BI121:BI122"/>
    <mergeCell ref="BF133:BF134"/>
    <mergeCell ref="BG133:BG134"/>
    <mergeCell ref="BH133:BH134"/>
    <mergeCell ref="BI133:BI134"/>
    <mergeCell ref="BF145:BF146"/>
    <mergeCell ref="BG145:BG146"/>
    <mergeCell ref="BH145:BH146"/>
    <mergeCell ref="BI145:BI146"/>
    <mergeCell ref="BF85:BF86"/>
    <mergeCell ref="BG85:BG86"/>
    <mergeCell ref="BH85:BH86"/>
    <mergeCell ref="BI85:BI86"/>
    <mergeCell ref="BF97:BF98"/>
    <mergeCell ref="BG97:BG98"/>
    <mergeCell ref="BH97:BH98"/>
    <mergeCell ref="BI97:BI98"/>
    <mergeCell ref="BF109:BF110"/>
    <mergeCell ref="BG109:BG110"/>
    <mergeCell ref="BH109:BH110"/>
    <mergeCell ref="BI109:BI110"/>
    <mergeCell ref="BF49:BF50"/>
    <mergeCell ref="BG49:BG50"/>
    <mergeCell ref="BH49:BH50"/>
    <mergeCell ref="BI49:BI50"/>
    <mergeCell ref="BF61:BF62"/>
    <mergeCell ref="BG61:BG62"/>
    <mergeCell ref="BH61:BH62"/>
    <mergeCell ref="BI61:BI62"/>
    <mergeCell ref="BF73:BF74"/>
    <mergeCell ref="BG73:BG74"/>
    <mergeCell ref="BH73:BH74"/>
    <mergeCell ref="BI73:BI74"/>
    <mergeCell ref="BB35:BH35"/>
    <mergeCell ref="BB37:BI37"/>
    <mergeCell ref="BB39:BH39"/>
    <mergeCell ref="BI39:BI41"/>
    <mergeCell ref="BB40:BB41"/>
    <mergeCell ref="BC40:BC41"/>
    <mergeCell ref="BD40:BE40"/>
    <mergeCell ref="BF40:BH40"/>
    <mergeCell ref="BG41:BH41"/>
    <mergeCell ref="BB30:BH30"/>
    <mergeCell ref="BF8:BF9"/>
    <mergeCell ref="BG8:BG9"/>
    <mergeCell ref="BH8:BH9"/>
    <mergeCell ref="BI8:BI9"/>
    <mergeCell ref="BB29:BH29"/>
    <mergeCell ref="BB31:BH31"/>
    <mergeCell ref="BB32:BH32"/>
    <mergeCell ref="BB34:BH34"/>
    <mergeCell ref="AX193:AX194"/>
    <mergeCell ref="AY193:AY194"/>
    <mergeCell ref="AZ193:AZ194"/>
    <mergeCell ref="BA193:BA194"/>
    <mergeCell ref="AX205:AX206"/>
    <mergeCell ref="AY205:AY206"/>
    <mergeCell ref="AZ205:AZ206"/>
    <mergeCell ref="BA205:BA206"/>
    <mergeCell ref="AX217:AX218"/>
    <mergeCell ref="AY217:AY218"/>
    <mergeCell ref="AZ217:AZ218"/>
    <mergeCell ref="BA217:BA218"/>
    <mergeCell ref="AX157:AX158"/>
    <mergeCell ref="AY157:AY158"/>
    <mergeCell ref="AZ157:AZ158"/>
    <mergeCell ref="BA157:BA158"/>
    <mergeCell ref="AX169:AX170"/>
    <mergeCell ref="AY169:AY170"/>
    <mergeCell ref="AZ169:AZ170"/>
    <mergeCell ref="BA169:BA170"/>
    <mergeCell ref="AX181:AX182"/>
    <mergeCell ref="AY181:AY182"/>
    <mergeCell ref="AZ181:AZ182"/>
    <mergeCell ref="BA181:BA182"/>
    <mergeCell ref="AX121:AX122"/>
    <mergeCell ref="AY121:AY122"/>
    <mergeCell ref="AZ121:AZ122"/>
    <mergeCell ref="BA121:BA122"/>
    <mergeCell ref="AX133:AX134"/>
    <mergeCell ref="AY133:AY134"/>
    <mergeCell ref="AZ133:AZ134"/>
    <mergeCell ref="BA133:BA134"/>
    <mergeCell ref="AX145:AX146"/>
    <mergeCell ref="AY145:AY146"/>
    <mergeCell ref="AZ145:AZ146"/>
    <mergeCell ref="BA145:BA146"/>
    <mergeCell ref="AX85:AX86"/>
    <mergeCell ref="AY85:AY86"/>
    <mergeCell ref="AZ85:AZ86"/>
    <mergeCell ref="BA85:BA86"/>
    <mergeCell ref="AX97:AX98"/>
    <mergeCell ref="AY97:AY98"/>
    <mergeCell ref="AZ97:AZ98"/>
    <mergeCell ref="BA97:BA98"/>
    <mergeCell ref="AX109:AX110"/>
    <mergeCell ref="AY109:AY110"/>
    <mergeCell ref="AZ109:AZ110"/>
    <mergeCell ref="BA109:BA110"/>
    <mergeCell ref="AX49:AX50"/>
    <mergeCell ref="AY49:AY50"/>
    <mergeCell ref="AZ49:AZ50"/>
    <mergeCell ref="BA49:BA50"/>
    <mergeCell ref="AX61:AX62"/>
    <mergeCell ref="AY61:AY62"/>
    <mergeCell ref="AZ61:AZ62"/>
    <mergeCell ref="BA61:BA62"/>
    <mergeCell ref="AX73:AX74"/>
    <mergeCell ref="AY73:AY74"/>
    <mergeCell ref="AZ73:AZ74"/>
    <mergeCell ref="BA73:BA74"/>
    <mergeCell ref="AT35:AZ35"/>
    <mergeCell ref="AT37:BA37"/>
    <mergeCell ref="AT39:AZ39"/>
    <mergeCell ref="BA39:BA41"/>
    <mergeCell ref="AT40:AT41"/>
    <mergeCell ref="AU40:AU41"/>
    <mergeCell ref="AV40:AW40"/>
    <mergeCell ref="AX40:AZ40"/>
    <mergeCell ref="AY41:AZ41"/>
    <mergeCell ref="AT30:AZ30"/>
    <mergeCell ref="AX8:AX9"/>
    <mergeCell ref="AY8:AY9"/>
    <mergeCell ref="AZ8:AZ9"/>
    <mergeCell ref="BA8:BA9"/>
    <mergeCell ref="AT29:AZ29"/>
    <mergeCell ref="AT31:AZ31"/>
    <mergeCell ref="AT32:AZ32"/>
    <mergeCell ref="AT34:AZ34"/>
    <mergeCell ref="AR193:AR194"/>
    <mergeCell ref="AS193:AS194"/>
    <mergeCell ref="AP205:AP206"/>
    <mergeCell ref="AQ205:AQ206"/>
    <mergeCell ref="AR205:AR206"/>
    <mergeCell ref="AS205:AS206"/>
    <mergeCell ref="AP217:AP218"/>
    <mergeCell ref="AQ217:AQ218"/>
    <mergeCell ref="AR217:AR218"/>
    <mergeCell ref="AS217:AS218"/>
    <mergeCell ref="AR157:AR158"/>
    <mergeCell ref="AS157:AS158"/>
    <mergeCell ref="AP169:AP170"/>
    <mergeCell ref="AQ169:AQ170"/>
    <mergeCell ref="AR169:AR170"/>
    <mergeCell ref="AS169:AS170"/>
    <mergeCell ref="AP181:AP182"/>
    <mergeCell ref="AQ181:AQ182"/>
    <mergeCell ref="AR181:AR182"/>
    <mergeCell ref="AS181:AS182"/>
    <mergeCell ref="AR121:AR122"/>
    <mergeCell ref="AS121:AS122"/>
    <mergeCell ref="AP133:AP134"/>
    <mergeCell ref="AQ133:AQ134"/>
    <mergeCell ref="AR133:AR134"/>
    <mergeCell ref="AS133:AS134"/>
    <mergeCell ref="AP145:AP146"/>
    <mergeCell ref="AQ145:AQ146"/>
    <mergeCell ref="AR145:AR146"/>
    <mergeCell ref="AS145:AS146"/>
    <mergeCell ref="AP85:AP86"/>
    <mergeCell ref="AQ85:AQ86"/>
    <mergeCell ref="AR85:AR86"/>
    <mergeCell ref="AS85:AS86"/>
    <mergeCell ref="AP97:AP98"/>
    <mergeCell ref="AQ97:AQ98"/>
    <mergeCell ref="AR97:AR98"/>
    <mergeCell ref="AS97:AS98"/>
    <mergeCell ref="AP109:AP110"/>
    <mergeCell ref="AQ109:AQ110"/>
    <mergeCell ref="AR109:AR110"/>
    <mergeCell ref="AS109:AS110"/>
    <mergeCell ref="AQ49:AQ50"/>
    <mergeCell ref="AR49:AR50"/>
    <mergeCell ref="AS49:AS50"/>
    <mergeCell ref="AP61:AP62"/>
    <mergeCell ref="AQ61:AQ62"/>
    <mergeCell ref="AR61:AR62"/>
    <mergeCell ref="AS61:AS62"/>
    <mergeCell ref="AP73:AP74"/>
    <mergeCell ref="AQ73:AQ74"/>
    <mergeCell ref="AR73:AR74"/>
    <mergeCell ref="AS73:AS74"/>
    <mergeCell ref="AH217:AH218"/>
    <mergeCell ref="AI217:AI218"/>
    <mergeCell ref="AJ217:AJ218"/>
    <mergeCell ref="AK217:AK218"/>
    <mergeCell ref="AL30:AR30"/>
    <mergeCell ref="AP8:AP9"/>
    <mergeCell ref="AQ8:AQ9"/>
    <mergeCell ref="AR8:AR9"/>
    <mergeCell ref="AS8:AS9"/>
    <mergeCell ref="AL29:AR29"/>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CA205:CA207"/>
    <mergeCell ref="AH205:AH206"/>
    <mergeCell ref="AI205:AI206"/>
    <mergeCell ref="AJ205:AJ206"/>
    <mergeCell ref="AK205:AK206"/>
    <mergeCell ref="F212:F223"/>
    <mergeCell ref="G213:G222"/>
    <mergeCell ref="H214:H221"/>
    <mergeCell ref="I215:I220"/>
    <mergeCell ref="P215:P220"/>
    <mergeCell ref="J216:J219"/>
    <mergeCell ref="Q216:Q219"/>
    <mergeCell ref="K217:K218"/>
    <mergeCell ref="V216:AC216"/>
    <mergeCell ref="AD216:BZ216"/>
    <mergeCell ref="V212:AC212"/>
    <mergeCell ref="AD212:BZ212"/>
    <mergeCell ref="V213:AC213"/>
    <mergeCell ref="AD213:BZ213"/>
    <mergeCell ref="V214:AC214"/>
    <mergeCell ref="AD214:BZ214"/>
    <mergeCell ref="V215:AC215"/>
    <mergeCell ref="AD215:BZ215"/>
    <mergeCell ref="CA217:CA219"/>
    <mergeCell ref="AH193:AH194"/>
    <mergeCell ref="AI193:AI194"/>
    <mergeCell ref="AJ193:AJ194"/>
    <mergeCell ref="AK193:AK194"/>
    <mergeCell ref="F200:F211"/>
    <mergeCell ref="G201:G210"/>
    <mergeCell ref="H202:H209"/>
    <mergeCell ref="I203:I208"/>
    <mergeCell ref="P203:P208"/>
    <mergeCell ref="J204:J207"/>
    <mergeCell ref="Q204:Q207"/>
    <mergeCell ref="K205:K206"/>
    <mergeCell ref="V204:AC204"/>
    <mergeCell ref="AD204:BZ204"/>
    <mergeCell ref="V200:AC200"/>
    <mergeCell ref="AD200:BZ200"/>
    <mergeCell ref="V201:AC201"/>
    <mergeCell ref="AD201:BZ201"/>
    <mergeCell ref="V202:AC202"/>
    <mergeCell ref="AD202:BZ202"/>
    <mergeCell ref="V203:AC203"/>
    <mergeCell ref="AD203:BZ203"/>
    <mergeCell ref="AP193:AP194"/>
    <mergeCell ref="AQ193:AQ194"/>
    <mergeCell ref="CA181:CA183"/>
    <mergeCell ref="AH181:AH182"/>
    <mergeCell ref="AI181:AI182"/>
    <mergeCell ref="AJ181:AJ182"/>
    <mergeCell ref="AK181:AK182"/>
    <mergeCell ref="F188:F199"/>
    <mergeCell ref="G189:G198"/>
    <mergeCell ref="H190:H197"/>
    <mergeCell ref="I191:I196"/>
    <mergeCell ref="P191:P196"/>
    <mergeCell ref="J192:J195"/>
    <mergeCell ref="Q192:Q195"/>
    <mergeCell ref="K193:K194"/>
    <mergeCell ref="V192:AC192"/>
    <mergeCell ref="AD192:BZ192"/>
    <mergeCell ref="V188:AC188"/>
    <mergeCell ref="AD188:BZ188"/>
    <mergeCell ref="V189:AC189"/>
    <mergeCell ref="AD189:BZ189"/>
    <mergeCell ref="V190:AC190"/>
    <mergeCell ref="AD190:BZ190"/>
    <mergeCell ref="V191:AC191"/>
    <mergeCell ref="AD191:BZ191"/>
    <mergeCell ref="CA193:CA195"/>
    <mergeCell ref="AH169:AH170"/>
    <mergeCell ref="AI169:AI170"/>
    <mergeCell ref="AJ169:AJ170"/>
    <mergeCell ref="AK169:AK170"/>
    <mergeCell ref="F176:F187"/>
    <mergeCell ref="G177:G186"/>
    <mergeCell ref="H178:H185"/>
    <mergeCell ref="I179:I184"/>
    <mergeCell ref="P179:P184"/>
    <mergeCell ref="J180:J183"/>
    <mergeCell ref="Q180:Q183"/>
    <mergeCell ref="K181:K182"/>
    <mergeCell ref="V180:AC180"/>
    <mergeCell ref="AD180:BZ180"/>
    <mergeCell ref="V176:AC176"/>
    <mergeCell ref="AD176:BZ176"/>
    <mergeCell ref="V177:AC177"/>
    <mergeCell ref="AD177:BZ177"/>
    <mergeCell ref="V178:AC178"/>
    <mergeCell ref="AD178:BZ178"/>
    <mergeCell ref="V179:AC179"/>
    <mergeCell ref="AD179:BZ179"/>
    <mergeCell ref="BV169:BV170"/>
    <mergeCell ref="BW169:BW170"/>
    <mergeCell ref="CA157:CA159"/>
    <mergeCell ref="AH157:AH158"/>
    <mergeCell ref="AI157:AI158"/>
    <mergeCell ref="AJ157:AJ158"/>
    <mergeCell ref="AK157:AK158"/>
    <mergeCell ref="F164:F175"/>
    <mergeCell ref="G165:G174"/>
    <mergeCell ref="H166:H173"/>
    <mergeCell ref="I167:I172"/>
    <mergeCell ref="P167:P172"/>
    <mergeCell ref="J168:J171"/>
    <mergeCell ref="Q168:Q171"/>
    <mergeCell ref="K169:K170"/>
    <mergeCell ref="V168:AC168"/>
    <mergeCell ref="AD168:BZ168"/>
    <mergeCell ref="V164:AC164"/>
    <mergeCell ref="AD164:BZ164"/>
    <mergeCell ref="V165:AC165"/>
    <mergeCell ref="AD165:BZ165"/>
    <mergeCell ref="V166:AC166"/>
    <mergeCell ref="AD166:BZ166"/>
    <mergeCell ref="V167:AC167"/>
    <mergeCell ref="AD167:BZ167"/>
    <mergeCell ref="CA169:CA171"/>
    <mergeCell ref="AH145:AH146"/>
    <mergeCell ref="AI145:AI146"/>
    <mergeCell ref="AJ145:AJ146"/>
    <mergeCell ref="AK145:AK146"/>
    <mergeCell ref="F152:F163"/>
    <mergeCell ref="G153:G162"/>
    <mergeCell ref="H154:H161"/>
    <mergeCell ref="I155:I160"/>
    <mergeCell ref="P155:P160"/>
    <mergeCell ref="J156:J159"/>
    <mergeCell ref="Q156:Q159"/>
    <mergeCell ref="K157:K158"/>
    <mergeCell ref="V156:AC156"/>
    <mergeCell ref="AD156:BZ156"/>
    <mergeCell ref="V152:AC152"/>
    <mergeCell ref="AD152:BZ152"/>
    <mergeCell ref="V153:AC153"/>
    <mergeCell ref="AD153:BZ153"/>
    <mergeCell ref="V154:AC154"/>
    <mergeCell ref="AD154:BZ154"/>
    <mergeCell ref="V155:AC155"/>
    <mergeCell ref="AD155:BZ155"/>
    <mergeCell ref="AP157:AP158"/>
    <mergeCell ref="AQ157:AQ158"/>
    <mergeCell ref="CA133:CA135"/>
    <mergeCell ref="AH133:AH134"/>
    <mergeCell ref="AI133:AI134"/>
    <mergeCell ref="AJ133:AJ134"/>
    <mergeCell ref="AK133:AK134"/>
    <mergeCell ref="F140:F151"/>
    <mergeCell ref="G141:G150"/>
    <mergeCell ref="H142:H149"/>
    <mergeCell ref="I143:I148"/>
    <mergeCell ref="P143:P148"/>
    <mergeCell ref="J144:J147"/>
    <mergeCell ref="Q144:Q147"/>
    <mergeCell ref="K145:K146"/>
    <mergeCell ref="V144:AC144"/>
    <mergeCell ref="AD144:BZ144"/>
    <mergeCell ref="V140:AC140"/>
    <mergeCell ref="AD140:BZ140"/>
    <mergeCell ref="V141:AC141"/>
    <mergeCell ref="AD141:BZ141"/>
    <mergeCell ref="V142:AC142"/>
    <mergeCell ref="AD142:BZ142"/>
    <mergeCell ref="V143:AC143"/>
    <mergeCell ref="AD143:BZ143"/>
    <mergeCell ref="CA145:CA147"/>
    <mergeCell ref="AH121:AH122"/>
    <mergeCell ref="AI121:AI122"/>
    <mergeCell ref="AJ121:AJ122"/>
    <mergeCell ref="AK121:AK122"/>
    <mergeCell ref="F128:F139"/>
    <mergeCell ref="G129:G138"/>
    <mergeCell ref="H130:H137"/>
    <mergeCell ref="I131:I136"/>
    <mergeCell ref="P131:P136"/>
    <mergeCell ref="J132:J135"/>
    <mergeCell ref="Q132:Q135"/>
    <mergeCell ref="K133:K134"/>
    <mergeCell ref="V132:AC132"/>
    <mergeCell ref="AD132:BZ132"/>
    <mergeCell ref="V128:AC128"/>
    <mergeCell ref="AD128:BZ128"/>
    <mergeCell ref="V129:AC129"/>
    <mergeCell ref="AD129:BZ129"/>
    <mergeCell ref="V130:AC130"/>
    <mergeCell ref="AD130:BZ130"/>
    <mergeCell ref="V131:AC131"/>
    <mergeCell ref="AD131:BZ131"/>
    <mergeCell ref="AP121:AP122"/>
    <mergeCell ref="AQ121:AQ122"/>
    <mergeCell ref="CA109:CA111"/>
    <mergeCell ref="AH109:AH110"/>
    <mergeCell ref="AI109:AI110"/>
    <mergeCell ref="AJ109:AJ110"/>
    <mergeCell ref="AK109:AK110"/>
    <mergeCell ref="F116:F127"/>
    <mergeCell ref="G117:G126"/>
    <mergeCell ref="H118:H125"/>
    <mergeCell ref="I119:I124"/>
    <mergeCell ref="P119:P124"/>
    <mergeCell ref="J120:J123"/>
    <mergeCell ref="Q120:Q123"/>
    <mergeCell ref="K121:K122"/>
    <mergeCell ref="V120:AC120"/>
    <mergeCell ref="AD120:BZ120"/>
    <mergeCell ref="V116:AC116"/>
    <mergeCell ref="AD116:BZ116"/>
    <mergeCell ref="V117:AC117"/>
    <mergeCell ref="AD117:BZ117"/>
    <mergeCell ref="V118:AC118"/>
    <mergeCell ref="AD118:BZ118"/>
    <mergeCell ref="V119:AC119"/>
    <mergeCell ref="AD119:BZ119"/>
    <mergeCell ref="CA121:CA123"/>
    <mergeCell ref="AD95:BZ95"/>
    <mergeCell ref="CA97:CA99"/>
    <mergeCell ref="AH97:AH98"/>
    <mergeCell ref="AI97:AI98"/>
    <mergeCell ref="AJ97:AJ98"/>
    <mergeCell ref="AK97:AK98"/>
    <mergeCell ref="F104:F115"/>
    <mergeCell ref="G105:G114"/>
    <mergeCell ref="H106:H113"/>
    <mergeCell ref="I107:I112"/>
    <mergeCell ref="P107:P112"/>
    <mergeCell ref="J108:J111"/>
    <mergeCell ref="Q108:Q111"/>
    <mergeCell ref="K109:K110"/>
    <mergeCell ref="V108:AC108"/>
    <mergeCell ref="AD108:BZ108"/>
    <mergeCell ref="V104:AC104"/>
    <mergeCell ref="AD104:BZ104"/>
    <mergeCell ref="V105:AC105"/>
    <mergeCell ref="AD105:BZ105"/>
    <mergeCell ref="V106:AC106"/>
    <mergeCell ref="AD106:BZ106"/>
    <mergeCell ref="V107:AC107"/>
    <mergeCell ref="AD107:BZ107"/>
    <mergeCell ref="V83:AC83"/>
    <mergeCell ref="AD83:BZ83"/>
    <mergeCell ref="CA85:CA87"/>
    <mergeCell ref="AH85:AH86"/>
    <mergeCell ref="AI85:AI86"/>
    <mergeCell ref="AJ85:AJ86"/>
    <mergeCell ref="AK85:AK86"/>
    <mergeCell ref="F92:F103"/>
    <mergeCell ref="G93:G102"/>
    <mergeCell ref="H94:H101"/>
    <mergeCell ref="I95:I100"/>
    <mergeCell ref="P95:P100"/>
    <mergeCell ref="J96:J99"/>
    <mergeCell ref="Q96:Q99"/>
    <mergeCell ref="K97:K98"/>
    <mergeCell ref="V96:AC96"/>
    <mergeCell ref="AD96:BZ96"/>
    <mergeCell ref="V92:AC92"/>
    <mergeCell ref="AD92:BZ92"/>
    <mergeCell ref="V93:AC93"/>
    <mergeCell ref="AD93:BZ93"/>
    <mergeCell ref="V94:AC94"/>
    <mergeCell ref="AD94:BZ94"/>
    <mergeCell ref="V95:AC95"/>
    <mergeCell ref="AD70:BZ70"/>
    <mergeCell ref="V71:AC71"/>
    <mergeCell ref="AD71:BZ71"/>
    <mergeCell ref="CA73:CA75"/>
    <mergeCell ref="AH73:AH74"/>
    <mergeCell ref="AI73:AI74"/>
    <mergeCell ref="AJ73:AJ74"/>
    <mergeCell ref="AK73:AK74"/>
    <mergeCell ref="F80:F91"/>
    <mergeCell ref="G81:G90"/>
    <mergeCell ref="H82:H89"/>
    <mergeCell ref="I83:I88"/>
    <mergeCell ref="P83:P88"/>
    <mergeCell ref="J84:J87"/>
    <mergeCell ref="Q84:Q87"/>
    <mergeCell ref="K85:K86"/>
    <mergeCell ref="V84:AC84"/>
    <mergeCell ref="AD84:BZ84"/>
    <mergeCell ref="V80:AC80"/>
    <mergeCell ref="AD80:BZ80"/>
    <mergeCell ref="V81:AC81"/>
    <mergeCell ref="AD81:BZ81"/>
    <mergeCell ref="V82:AC82"/>
    <mergeCell ref="AD82:BZ82"/>
    <mergeCell ref="CA61:CA63"/>
    <mergeCell ref="AH61:AH62"/>
    <mergeCell ref="AI61:AI62"/>
    <mergeCell ref="AJ61:AJ62"/>
    <mergeCell ref="AK61:AK62"/>
    <mergeCell ref="F68:F79"/>
    <mergeCell ref="G69:G78"/>
    <mergeCell ref="H70:H77"/>
    <mergeCell ref="I71:I76"/>
    <mergeCell ref="P71:P76"/>
    <mergeCell ref="J72:J75"/>
    <mergeCell ref="Q72:Q75"/>
    <mergeCell ref="K73:K74"/>
    <mergeCell ref="Z73:Z74"/>
    <mergeCell ref="AA73:AA74"/>
    <mergeCell ref="AB73:AB74"/>
    <mergeCell ref="AC73:AC74"/>
    <mergeCell ref="V72:AC72"/>
    <mergeCell ref="AD72:BZ72"/>
    <mergeCell ref="V68:AC68"/>
    <mergeCell ref="AD68:BZ68"/>
    <mergeCell ref="V69:AC69"/>
    <mergeCell ref="AD69:BZ69"/>
    <mergeCell ref="V70:AC70"/>
    <mergeCell ref="AD60:BZ60"/>
    <mergeCell ref="V56:AC56"/>
    <mergeCell ref="AD56:BZ56"/>
    <mergeCell ref="V57:AC57"/>
    <mergeCell ref="AD57:BZ57"/>
    <mergeCell ref="V58:AC58"/>
    <mergeCell ref="AD58:BZ58"/>
    <mergeCell ref="V59:AC59"/>
    <mergeCell ref="AD59:BZ59"/>
    <mergeCell ref="T231:CA231"/>
    <mergeCell ref="T232:CA232"/>
    <mergeCell ref="T230:CA230"/>
    <mergeCell ref="CA49:CA51"/>
    <mergeCell ref="T227:CA227"/>
    <mergeCell ref="T228:CA228"/>
    <mergeCell ref="J48:J51"/>
    <mergeCell ref="Q48:Q51"/>
    <mergeCell ref="V48:AC48"/>
    <mergeCell ref="AD48:BZ48"/>
    <mergeCell ref="K49:K50"/>
    <mergeCell ref="Z49:Z50"/>
    <mergeCell ref="AA49:AA50"/>
    <mergeCell ref="AB49:AB50"/>
    <mergeCell ref="AC49:AC50"/>
    <mergeCell ref="AH49:AH50"/>
    <mergeCell ref="AI49:AI50"/>
    <mergeCell ref="AJ49:AJ50"/>
    <mergeCell ref="AK49:AK50"/>
    <mergeCell ref="P59:P64"/>
    <mergeCell ref="J60:J63"/>
    <mergeCell ref="Q60:Q63"/>
    <mergeCell ref="K61:K62"/>
    <mergeCell ref="Z61:Z62"/>
    <mergeCell ref="E43:E224"/>
    <mergeCell ref="V43:AC43"/>
    <mergeCell ref="AD43:BZ43"/>
    <mergeCell ref="F44:F55"/>
    <mergeCell ref="V44:AC44"/>
    <mergeCell ref="AD44:BZ44"/>
    <mergeCell ref="G45:G54"/>
    <mergeCell ref="V45:AC45"/>
    <mergeCell ref="AD45:BZ45"/>
    <mergeCell ref="H46:H53"/>
    <mergeCell ref="V46:AC46"/>
    <mergeCell ref="AD46:BZ46"/>
    <mergeCell ref="I47:I52"/>
    <mergeCell ref="P47:P52"/>
    <mergeCell ref="V47:AC47"/>
    <mergeCell ref="AD47:BZ47"/>
    <mergeCell ref="F56:F67"/>
    <mergeCell ref="G57:G66"/>
    <mergeCell ref="H58:H65"/>
    <mergeCell ref="I59:I64"/>
    <mergeCell ref="AA61:AA62"/>
    <mergeCell ref="AB61:AB62"/>
    <mergeCell ref="AC61:AC62"/>
    <mergeCell ref="V60:AC60"/>
    <mergeCell ref="AH40:AJ40"/>
    <mergeCell ref="AA41:AB41"/>
    <mergeCell ref="AI41:AJ41"/>
    <mergeCell ref="AA42:AB42"/>
    <mergeCell ref="AI42:AJ42"/>
    <mergeCell ref="S38:BZ38"/>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E40:AE41"/>
    <mergeCell ref="AF40:AG40"/>
    <mergeCell ref="AY42:AZ42"/>
    <mergeCell ref="BG42:BH42"/>
    <mergeCell ref="BO42:BP42"/>
    <mergeCell ref="S32:T32"/>
    <mergeCell ref="V32:AB32"/>
    <mergeCell ref="AD32:AJ32"/>
    <mergeCell ref="V37:AC37"/>
    <mergeCell ref="AD37:AK37"/>
    <mergeCell ref="S34:T34"/>
    <mergeCell ref="V34:AB34"/>
    <mergeCell ref="AD34:AJ34"/>
    <mergeCell ref="S35:T35"/>
    <mergeCell ref="V35:AB35"/>
    <mergeCell ref="AD35:AJ35"/>
    <mergeCell ref="CA8:CA10"/>
    <mergeCell ref="AH17:AH18"/>
    <mergeCell ref="AI17:AI18"/>
    <mergeCell ref="AJ17:AJ18"/>
    <mergeCell ref="AK17:AK18"/>
    <mergeCell ref="AH8:AH9"/>
    <mergeCell ref="AI8:AI9"/>
    <mergeCell ref="AJ8:AJ9"/>
    <mergeCell ref="AK8:AK9"/>
    <mergeCell ref="V7:AC7"/>
    <mergeCell ref="AD7:BZ7"/>
    <mergeCell ref="V2:AC2"/>
    <mergeCell ref="AD2:BZ2"/>
    <mergeCell ref="V3:AC3"/>
    <mergeCell ref="AD3:BZ3"/>
    <mergeCell ref="V4:AC4"/>
    <mergeCell ref="AD4:BZ4"/>
    <mergeCell ref="V5:AC5"/>
    <mergeCell ref="AD5:BZ5"/>
    <mergeCell ref="V6:AC6"/>
    <mergeCell ref="AD6:BZ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256:BZ983256 V65752:BZ65752 V131288:BZ131288 V196824:BZ196824 V262360:BZ262360 V327896:BZ327896 V393432:BZ393432 V458968:BZ458968 V524504:BZ524504 V590040:BZ590040 V655576:BZ655576 V721112:BZ721112 V786648:BZ786648 V852184:BZ852184 V917720:BZ917720">
      <formula1>kind_of_cons</formula1>
    </dataValidation>
    <dataValidation allowBlank="1" sqref="S131291:CA131297 S196827:CA196833 S262363:CA262369 S327899:CA327905 S393435:CA393441 S458971:CA458977 S524507:CA524513 S590043:CA590049 S655579:CA655585 S721115:CA721121 S786651:CA786657 S852187:CA852193 S917723:CA917729 S983259:CA983265 S65755:CA65761"/>
    <dataValidation type="list" allowBlank="1" showInputMessage="1" showErrorMessage="1" errorTitle="Ошибка" error="Выберите значение из списка" sqref="V983255:W983255 V65751:W65751 V131287:W131287 V196823:W196823 V262359:W262359 V327895:W327895 V393431:W393431 V458967:W458967 V524503:W524503 V590039:W590039 V655575:W655575 V721111:W721111 V786647:W786647 V852183:W852183 V917719:W917719 AD983255:AE983255 AD65751:AE65751 AD131287:AE131287 AD196823:AE196823 AD262359:AE262359 AD327895:AE327895 AD393431:AE393431 AD458967:AE458967 AD524503:AE524503 AD590039:AE590039 AD655575:AE655575 AD721111:AE721111 AD786647:AE786647 AD852183:AE852183 AD917719:AE917719">
      <formula1>kind_of_scheme_in</formula1>
    </dataValidation>
    <dataValidation type="textLength" operator="lessThanOrEqual" allowBlank="1" showInputMessage="1" showErrorMessage="1" errorTitle="Ошибка" error="Допускается ввод не более 900 символов!" sqref="CA65747:CA65754 CA131283:CA131290 CA196819:CA196826 CA262355:CA262362 CA327891:CA327898 CA393427:CA393434 CA458963:CA458970 CA524499:CA524506 CA590035:CA590042 CA655571:CA655578 CA721107:CA721114 CA786643:CA786650 CA852179:CA852186 CA917715:CA917722 CA983251:CA983258">
      <formula1>900</formula1>
    </dataValidation>
    <dataValidation type="list" allowBlank="1" showInputMessage="1" showErrorMessage="1" errorTitle="Ошибка" error="Выберите значение из списка" sqref="T65753 T131289 T196825 T262361 T327897 T393433 T458969 T524505 T590041 T655577 T721113 T786649 T852185 T917721 T98325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53 Z131289 Z196825 Z262361 Z327897 Z393433 Z458969 Z524505 Z590041 Z655577 Z721113 Z786649 Z852185 Z917721 Z983257 AB65753 AB131289 AB196825 AB262361 AB327897 AB393433 AB458969 AB524505 AB590041 AB655577 AB721113 AB786649 AB852185 AB917721 AB983257 Z8 AH65753 AH131289 AH196825 AH262361 AH327897 AH393433 AH458969 AH524505 AH590041 AH655577 AH721113 AH786649 AH852185 AH917721 AH983257 AJ65753 AJ131289 AJ196825 AJ262361 AJ327897 AJ393433 AJ458969 AJ524505 AJ590041 AJ655577 AJ721113 AJ786649 AJ852185 AJ917721 AJ983257 AJ49 AH49 AH8 AJ8 AB8 AH17 AJ17 Z49 AB49 Z61 AB61 AH61 AJ61 Z73 AB73 AH73 AJ73 Z85 AB85 AH85 AJ85 Z97 AB97 AH97 AJ97 Z109 AB109 AH109 AJ109 Z121 AB121 AH121 AJ121 Z133 AB133 AH133 AJ133 Z145 AB145 AH145 AJ145 Z157 AB157 AH157 AJ157 Z169 AB169 AH169 AJ169 Z181 AB181 AH181 AJ181 Z193 AB193 AH193 AJ193 Z205 AB205 AH205 AJ205 Z217 AB217 AH217 AJ217 AP8 AR8 AP49 AR49 AP61 AR61 AP73 AR73 AP85 AR85 AP97 AR97 AP109 AR109 AP121 AR121 AP133 AR133 AP145 AR145 AP157 AR157 AP169 AR169 AP181 AR181 AP193 AR193 AP205 AR205 AP217 AR217 AX8 AZ8 AX49 AZ49 AX61 AZ61 AX73 AZ73 AX85 AZ85 AX97 AZ97 AX109 AZ109 AX121 AZ121 AX133 AZ133 AX145 AZ145 AX157 AZ157 AX169 AZ169 AX181 AZ181 AX193 AZ193 AX205 AZ205 AX217 AZ217 BF8 BH8 BF49 BH49 BF61 BH61 BF73 BH73 BF85 BH85 BF97 BH97 BF109 BH109 BF121 BH121 BF133 BH133 BF145 BH145 BF157 BH157 BF169 BH169 BF181 BH181 BF193 BH193 BF205 BH205 BF217 BH217 BN8 BP8 BN49 BP49 BN61 BP61 BN73 BP73 BN85 BP85 BN97 BP97 BN109 BP109 BN121 BP121 BN133 BP133 BN145 BP145 BN157 BP157 BN169 BP169 BN181 BP181 BN193 BP193 BN205 BP205 BN217 BP217 BV8 BX8 BV49 BX49 BV61 BX61 BV73 BX73 BV85 BX85 BV97 BX97 BV109 BX109 BV121 BX121 BV133 BX133 BV145 BX145 BV157 BX157 BV169 BX169 BV181 BX181 BV193 BX193 BV205 BX205 BV217 BX217"/>
    <dataValidation allowBlank="1" showInputMessage="1" showErrorMessage="1" prompt="Для выбора выполните двойной щелчок левой клавиши мыши по соответствующей ячейке." sqref="AA65753 AA131289 AA196825 AA262361 AA327897 AA393433 AA458969 AA524505 AA590041 AA655577 AA721113 AA786649 AA852185 AA917721 AA983257 AC131289 AC458969 AC196825 AC262361 AC327897 AC393433 AC524505 AC590041 AC655577 AC721113 AC786649 AC852185 AC917721 AC983257 AC65753 AI65753 AI131289 AI196825 AI262361 AI327897 AI393433 AI458969 AI524505 AI590041 AI655577 AI721113 AI786649 AI852185 AI917721 AI983257 AK327897:BY327897 AK393433:BY393433 AK49 AQ49 AS49 AY49 BA49 BG49 BI49 BO49 BQ49 BW49 BY49 AK524505:BY524505 AK8 AQ8 AS8 AY8 BA8 BG8 BI8 BO8 BQ8 BW8 BY8 AK590041:BY590041 AK655577:BY655577 AK17 AK721113:BY721113 AK786649:BY786649 AK852185:BY852185 AK917721:BY917721 AK983257:BY983257 AK65753:BY65753 AK131289:BY131289 AI49 AK458969:BY458969 AI8 AC8 AA8 AI17 AK196825:BY196825 AA49 AC49 AK262361:BY262361 AA61 AC61 AI61 AK61 AQ61 AS61 AY61 BA61 BG61 BI61 BO61 BQ61 BW61 BY61 AA73 AC73 AI73 AK73 AQ73 AS73 AY73 BA73 BG73 BI73 BO73 BQ73 BW73 BY73 AA85 AC85 AI85 AK85 AQ85 AS85 AY85 BA85 BG85 BI85 BO85 BQ85 BW85 BY85 AA97 AC97 AI97 AK97 AQ97 AS97 AY97 BA97 BG97 BI97 BO97 BQ97 BW97 BY97 AA109 AC109 AI109 AK109 AQ109 AS109 AY109 BA109 BG109 BI109 BO109 BQ109 BW109 BY109 AA121 AC121 AI121 AK121 AQ121 AS121 AY121 BA121 BG121 BI121 BO121 BQ121 BW121 BY121 AA133 AC133 AI133 AK133 AQ133 AS133 AY133 BA133 BG133 BI133 BO133 BQ133 BW133 BY133 AA145 AC145 AI145 AK145 AQ145 AS145 AY145 BA145 BG145 BI145 BO145 BQ145 BW145 BY145 AA157 AC157 AI157 AK157 AQ157 AS157 AY157 BA157 BG157 BI157 BO157 BQ157 BW157 BY157 AA169 AC169 AI169 AK169 AQ169 AS169 AY169 BA169 BG169 BI169 BO169 BQ169 BW169 BY169 AA181 AC181 AI181 AK181 AQ181 AS181 AY181 BA181 BG181 BI181 BO181 BQ181 BW181 BY181 AA193 AC193 AI193 AK193 AQ193 AS193 AY193 BA193 BG193 BI193 BO193 BQ193 BW193 BY193 AA205 AC205 AI205 AK205 AQ205 AS205 AY205 BA205 BG205 BI205 BO205 BQ205 BW205 BY205 AA217 AC217 AI217 AK217 AQ217 AS217 AY217 BA217 BG217 BI217 BO217 BQ217 BW217 BY217"/>
    <dataValidation allowBlank="1" promptTitle="checkPeriodRange" sqref="Y65754 Y131290 Y196826 Y262362 Y327898 Y393434 Y458970 Y524506 Y590042 Y655578 Y721114 Y786650 Y852186 Y917722 Y983258 Y9 AG65754 AG131290 AG196826 AG262362 AG327898 AG393434 AG458970 AG524506 AG590042 AG655578 AG721114 AG786650 AG852186 AG917722 AG983258 AG9 AG50 AG18 Y50 Y62 AG62 Y74 AG74 Y86 AG86 Y98 AG98 Y110 AG110 Y122 AG122 Y134 AG134 Y146 AG146 Y158 AG158 Y170 AG170 Y182 AG182 Y194 AG194 Y206 AG206 Y218 AG218 AO9 AO50 AO62 AO74 AO86 AO98 AO110 AO122 AO134 AO146 AO158 AO170 AO182 AO194 AO206 AO218 AW9 AW50 AW62 AW74 AW86 AW98 AW110 AW122 AW134 AW146 AW158 AW170 AW182 AW194 AW206 AW218 BE9 BE50 BE62 BE74 BE86 BE98 BE110 BE122 BE134 BE146 BE158 BE170 BE182 BE194 BE206 BE218 BM9 BM50 BM62 BM74 BM86 BM98 BM110 BM122 BM134 BM146 BM158 BM170 BM182 BM194 BM206 BM218 BU9 BU50 BU62 BU74 BU86 BU98 BU110 BU122 BU134 BU146 BU158 BU170 BU182 BU194 BU206 BU21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3" customWidth="1"/>
    <col min="17" max="18" width="3.7109375" style="2075" customWidth="1"/>
    <col min="19" max="19" width="12.7109375" style="2076" customWidth="1"/>
    <col min="20" max="20" width="32" style="2042" customWidth="1"/>
    <col min="21" max="21" width="0.7109375" style="2042" hidden="1" customWidth="1"/>
    <col min="22" max="22" width="1.7109375" style="2042" hidden="1" customWidth="1"/>
    <col min="23" max="23" width="24.7109375" style="2042" hidden="1" customWidth="1"/>
    <col min="24" max="25" width="0.14062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0.140625" style="2042" customWidth="1"/>
    <col min="31" max="31" width="24.7109375" style="2042" customWidth="1"/>
    <col min="32" max="33" width="0.140625" style="2042" customWidth="1"/>
    <col min="34" max="34" width="11.7109375" style="2042" customWidth="1"/>
    <col min="35" max="35" width="3.7109375" style="2042" customWidth="1"/>
    <col min="36" max="36" width="11.7109375" style="2042" customWidth="1"/>
    <col min="37" max="37" width="8.5703125" style="2042" hidden="1" customWidth="1"/>
    <col min="38" max="38" width="4.7109375" style="2042" customWidth="1"/>
    <col min="39" max="39" width="115.7109375" style="2042"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6763">
        <v>1</v>
      </c>
      <c r="F2" s="1279"/>
      <c r="G2" s="1279"/>
      <c r="H2" s="1279"/>
      <c r="I2" s="1279"/>
      <c r="J2" s="1279"/>
      <c r="K2" s="1279"/>
      <c r="L2" s="1280"/>
      <c r="M2" s="1281"/>
      <c r="N2" s="1281"/>
      <c r="O2" s="1281"/>
      <c r="P2" s="286"/>
      <c r="Q2" s="285"/>
      <c r="R2" s="280"/>
      <c r="S2" s="1253"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51"/>
      <c r="AM2" s="1177" t="s">
        <v>516</v>
      </c>
      <c r="AO2" s="426"/>
      <c r="AP2" s="426" t="str">
        <f t="shared" ref="AP2:AP15" si="0">IF(T2="","",T2)</f>
        <v>Наименование тарифа</v>
      </c>
      <c r="AQ2" s="426"/>
      <c r="AR2" s="426"/>
    </row>
    <row r="3" spans="1:44" ht="21" hidden="1" customHeight="1">
      <c r="A3" s="1279"/>
      <c r="B3" s="1279"/>
      <c r="C3" s="1279"/>
      <c r="D3" s="1279"/>
      <c r="E3" s="6764"/>
      <c r="F3" s="6763">
        <v>1</v>
      </c>
      <c r="G3" s="1279"/>
      <c r="H3" s="1279"/>
      <c r="I3" s="1279"/>
      <c r="J3" s="1279"/>
      <c r="K3" s="1279"/>
      <c r="L3" s="1280"/>
      <c r="M3" s="1281"/>
      <c r="N3" s="1281"/>
      <c r="O3" s="1281"/>
      <c r="P3" s="1249"/>
      <c r="Q3" s="277"/>
      <c r="R3" s="278"/>
      <c r="S3" s="1253"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51"/>
      <c r="AM3" s="1177" t="s">
        <v>518</v>
      </c>
      <c r="AO3" s="426"/>
      <c r="AP3" s="426" t="str">
        <f t="shared" si="0"/>
        <v>Территория действия тарифа</v>
      </c>
      <c r="AQ3" s="426"/>
      <c r="AR3" s="426"/>
    </row>
    <row r="4" spans="1:44" ht="23.25" hidden="1" customHeight="1">
      <c r="A4" s="1279"/>
      <c r="B4" s="1279"/>
      <c r="C4" s="1279"/>
      <c r="D4" s="1279"/>
      <c r="E4" s="6764"/>
      <c r="F4" s="6764"/>
      <c r="G4" s="6763">
        <v>1</v>
      </c>
      <c r="H4" s="1279"/>
      <c r="I4" s="1279"/>
      <c r="J4" s="1279"/>
      <c r="K4" s="1279"/>
      <c r="L4" s="1280"/>
      <c r="M4" s="1281"/>
      <c r="N4" s="1281"/>
      <c r="O4" s="1281"/>
      <c r="P4" s="279"/>
      <c r="Q4" s="277"/>
      <c r="R4" s="278"/>
      <c r="S4" s="1253"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51"/>
      <c r="AM4" s="1177" t="s">
        <v>520</v>
      </c>
      <c r="AO4" s="426"/>
      <c r="AP4" s="426" t="str">
        <f t="shared" si="0"/>
        <v xml:space="preserve">Наименование системы теплоснабжения </v>
      </c>
      <c r="AQ4" s="426"/>
      <c r="AR4" s="426"/>
    </row>
    <row r="5" spans="1:44" ht="21" hidden="1" customHeight="1">
      <c r="A5" s="1279"/>
      <c r="B5" s="1279"/>
      <c r="C5" s="1279"/>
      <c r="D5" s="1279"/>
      <c r="E5" s="6764"/>
      <c r="F5" s="6764"/>
      <c r="G5" s="6764"/>
      <c r="H5" s="6763">
        <v>1</v>
      </c>
      <c r="I5" s="1279"/>
      <c r="J5" s="1279"/>
      <c r="K5" s="1279"/>
      <c r="L5" s="1280"/>
      <c r="M5" s="1281"/>
      <c r="N5" s="1281"/>
      <c r="O5" s="1281"/>
      <c r="P5" s="279"/>
      <c r="Q5" s="277"/>
      <c r="R5" s="278"/>
      <c r="S5" s="1253"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51"/>
      <c r="AM5" s="1177" t="s">
        <v>522</v>
      </c>
      <c r="AO5" s="426"/>
      <c r="AP5" s="426" t="str">
        <f t="shared" si="0"/>
        <v xml:space="preserve">Источник тепловой энергии  </v>
      </c>
      <c r="AQ5" s="426"/>
      <c r="AR5" s="426"/>
    </row>
    <row r="6" spans="1:44" ht="47.25" hidden="1" customHeight="1">
      <c r="A6" s="1279"/>
      <c r="B6" s="1279"/>
      <c r="C6" s="1279"/>
      <c r="D6" s="1279"/>
      <c r="E6" s="6764"/>
      <c r="F6" s="6764"/>
      <c r="G6" s="6764"/>
      <c r="H6" s="6764"/>
      <c r="I6" s="6761" t="e">
        <f>S5&amp;".1"</f>
        <v>#N/A</v>
      </c>
      <c r="J6" s="1279"/>
      <c r="K6" s="1279"/>
      <c r="L6" s="1280" t="s">
        <v>523</v>
      </c>
      <c r="M6" s="462"/>
      <c r="P6" s="6762">
        <v>1</v>
      </c>
      <c r="Q6" s="1248"/>
      <c r="R6" s="281"/>
      <c r="S6" s="1253" t="e">
        <f>$I6</f>
        <v>#N/A</v>
      </c>
      <c r="T6" s="204" t="s">
        <v>524</v>
      </c>
      <c r="U6" s="219"/>
      <c r="V6" s="6752"/>
      <c r="W6" s="6753"/>
      <c r="X6" s="6753"/>
      <c r="Y6" s="6753"/>
      <c r="Z6" s="6753"/>
      <c r="AA6" s="6753"/>
      <c r="AB6" s="6753"/>
      <c r="AC6" s="6754"/>
      <c r="AD6" s="6752"/>
      <c r="AE6" s="6753"/>
      <c r="AF6" s="6753"/>
      <c r="AG6" s="6753"/>
      <c r="AH6" s="6753"/>
      <c r="AI6" s="6753"/>
      <c r="AJ6" s="6753"/>
      <c r="AK6" s="6753"/>
      <c r="AL6" s="6754"/>
      <c r="AM6" s="1177" t="s">
        <v>525</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6764"/>
      <c r="F7" s="6764"/>
      <c r="G7" s="6764"/>
      <c r="H7" s="6764"/>
      <c r="I7" s="6784"/>
      <c r="J7" s="6761" t="e">
        <f>I6&amp;".1"</f>
        <v>#N/A</v>
      </c>
      <c r="K7" s="1279"/>
      <c r="L7" s="1280" t="s">
        <v>526</v>
      </c>
      <c r="M7" s="462"/>
      <c r="N7" s="1282"/>
      <c r="P7" s="6762"/>
      <c r="Q7" s="6762">
        <v>1</v>
      </c>
      <c r="R7" s="282"/>
      <c r="S7" s="1253" t="e">
        <f>$J7</f>
        <v>#N/A</v>
      </c>
      <c r="T7" s="205" t="s">
        <v>527</v>
      </c>
      <c r="U7" s="219"/>
      <c r="V7" s="6752"/>
      <c r="W7" s="6753"/>
      <c r="X7" s="6753"/>
      <c r="Y7" s="6753"/>
      <c r="Z7" s="6753"/>
      <c r="AA7" s="6753"/>
      <c r="AB7" s="6753"/>
      <c r="AC7" s="6754"/>
      <c r="AD7" s="6752"/>
      <c r="AE7" s="6753"/>
      <c r="AF7" s="6753"/>
      <c r="AG7" s="6753"/>
      <c r="AH7" s="6753"/>
      <c r="AI7" s="6753"/>
      <c r="AJ7" s="6753"/>
      <c r="AK7" s="6753"/>
      <c r="AL7" s="6754"/>
      <c r="AM7" s="1177" t="s">
        <v>528</v>
      </c>
      <c r="AO7" s="426"/>
      <c r="AP7" s="426" t="str">
        <f t="shared" si="0"/>
        <v>Группа потребителей</v>
      </c>
      <c r="AQ7" s="426"/>
      <c r="AR7" s="426"/>
    </row>
    <row r="8" spans="1:4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53" t="e">
        <f>$K8</f>
        <v>#N/A</v>
      </c>
      <c r="T8" s="1264"/>
      <c r="U8" s="219"/>
      <c r="V8" s="251"/>
      <c r="W8" s="668"/>
      <c r="X8" s="251"/>
      <c r="Y8" s="318"/>
      <c r="Z8" s="6766"/>
      <c r="AA8" s="6610" t="s">
        <v>61</v>
      </c>
      <c r="AB8" s="6766"/>
      <c r="AC8" s="6610" t="s">
        <v>61</v>
      </c>
      <c r="AD8" s="251"/>
      <c r="AE8" s="668"/>
      <c r="AF8" s="251"/>
      <c r="AG8" s="318"/>
      <c r="AH8" s="6766"/>
      <c r="AI8" s="6610" t="s">
        <v>61</v>
      </c>
      <c r="AJ8" s="6766"/>
      <c r="AK8" s="6610" t="s">
        <v>61</v>
      </c>
      <c r="AL8" s="251"/>
      <c r="AM8" s="6758" t="s">
        <v>530</v>
      </c>
      <c r="AN8" s="437" t="e">
        <f ca="1">STRCHECKDATE(V9:AL9)</f>
        <v>#NAME?</v>
      </c>
      <c r="AO8" s="426"/>
      <c r="AP8" s="426" t="str">
        <f t="shared" si="0"/>
        <v/>
      </c>
      <c r="AQ8" s="426"/>
      <c r="AR8" s="426"/>
    </row>
    <row r="9" spans="1:44" ht="0.75" hidden="1" customHeight="1">
      <c r="A9" s="1279"/>
      <c r="B9" s="1279"/>
      <c r="C9" s="1279"/>
      <c r="D9" s="1279"/>
      <c r="E9" s="6764"/>
      <c r="F9" s="6764"/>
      <c r="G9" s="6764"/>
      <c r="H9" s="6764"/>
      <c r="I9" s="6784"/>
      <c r="J9" s="6784"/>
      <c r="K9" s="6761"/>
      <c r="L9" s="1280"/>
      <c r="M9" s="462"/>
      <c r="N9" s="1282"/>
      <c r="O9" s="1282"/>
      <c r="P9" s="6762"/>
      <c r="Q9" s="6762"/>
      <c r="R9" s="282"/>
      <c r="S9" s="1259"/>
      <c r="T9" s="219"/>
      <c r="U9" s="219"/>
      <c r="V9" s="251"/>
      <c r="W9" s="251"/>
      <c r="X9" s="251"/>
      <c r="Y9" s="255" t="str">
        <f>Z8&amp;"-"&amp;AB8</f>
        <v>-</v>
      </c>
      <c r="Z9" s="6767"/>
      <c r="AA9" s="6610"/>
      <c r="AB9" s="6767"/>
      <c r="AC9" s="6610"/>
      <c r="AD9" s="251"/>
      <c r="AE9" s="251"/>
      <c r="AF9" s="251"/>
      <c r="AG9" s="255" t="str">
        <f>AH8&amp;"-"&amp;AJ8</f>
        <v>-</v>
      </c>
      <c r="AH9" s="6767"/>
      <c r="AI9" s="6610"/>
      <c r="AJ9" s="6767"/>
      <c r="AK9" s="6610"/>
      <c r="AL9" s="251"/>
      <c r="AM9" s="6759"/>
      <c r="AO9" s="426"/>
      <c r="AP9" s="426" t="str">
        <f t="shared" si="0"/>
        <v/>
      </c>
      <c r="AQ9" s="426"/>
      <c r="AR9" s="426"/>
    </row>
    <row r="10" spans="1:44" ht="15" hidden="1" customHeight="1">
      <c r="A10" s="1279"/>
      <c r="B10" s="1279"/>
      <c r="C10" s="1279"/>
      <c r="D10" s="1279"/>
      <c r="E10" s="6764"/>
      <c r="F10" s="6764"/>
      <c r="G10" s="6764"/>
      <c r="H10" s="6764"/>
      <c r="I10" s="6784"/>
      <c r="J10" s="6761"/>
      <c r="K10" s="1279"/>
      <c r="L10" s="1280"/>
      <c r="M10" s="462"/>
      <c r="N10" s="1282"/>
      <c r="P10" s="6762"/>
      <c r="Q10" s="6762"/>
      <c r="R10" s="281"/>
      <c r="S10" s="1198"/>
      <c r="T10" s="207" t="s">
        <v>531</v>
      </c>
      <c r="U10" s="295"/>
      <c r="V10" s="295"/>
      <c r="W10" s="295"/>
      <c r="X10" s="295"/>
      <c r="Y10" s="295"/>
      <c r="Z10" s="295"/>
      <c r="AA10" s="295"/>
      <c r="AB10" s="295"/>
      <c r="AC10" s="295"/>
      <c r="AD10" s="295"/>
      <c r="AE10" s="295"/>
      <c r="AF10" s="295"/>
      <c r="AG10" s="295"/>
      <c r="AH10" s="295"/>
      <c r="AI10" s="295"/>
      <c r="AJ10" s="295"/>
      <c r="AK10" s="295"/>
      <c r="AL10" s="250"/>
      <c r="AM10" s="6760"/>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6764"/>
      <c r="F11" s="6764"/>
      <c r="G11" s="6764"/>
      <c r="H11" s="6764"/>
      <c r="I11" s="6761"/>
      <c r="J11" s="1279"/>
      <c r="K11" s="1279"/>
      <c r="L11" s="1280"/>
      <c r="M11" s="462"/>
      <c r="P11" s="6762"/>
      <c r="Q11" s="1248"/>
      <c r="R11" s="281"/>
      <c r="S11" s="1198"/>
      <c r="T11" s="206" t="s">
        <v>532</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6764"/>
      <c r="F12" s="6764"/>
      <c r="G12" s="6764"/>
      <c r="H12" s="6763"/>
      <c r="I12" s="1279"/>
      <c r="J12" s="1279"/>
      <c r="K12" s="1279"/>
      <c r="L12" s="1280"/>
      <c r="M12" s="1281"/>
      <c r="N12" s="1281"/>
      <c r="O12" s="462"/>
      <c r="P12" s="285"/>
      <c r="Q12" s="304"/>
      <c r="R12" s="280"/>
      <c r="S12" s="1198"/>
      <c r="T12" s="292" t="s">
        <v>533</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2067" customFormat="1" ht="0.7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067" customFormat="1" ht="0.7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067" customFormat="1" ht="0.7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6768"/>
      <c r="AI17" s="6769" t="s">
        <v>61</v>
      </c>
      <c r="AJ17" s="6768"/>
      <c r="AK17" s="6769" t="s">
        <v>61</v>
      </c>
    </row>
    <row r="18" spans="1:44" ht="14.25" hidden="1" customHeight="1">
      <c r="AD18" s="1276"/>
      <c r="AE18" s="1276"/>
      <c r="AF18" s="1276"/>
      <c r="AG18" s="255" t="str">
        <f>AH17&amp;"-"&amp;AJ17</f>
        <v>-</v>
      </c>
      <c r="AH18" s="6769"/>
      <c r="AI18" s="6769"/>
      <c r="AJ18" s="6769"/>
      <c r="AK18" s="6769"/>
    </row>
    <row r="19" spans="1:44" ht="14.25" hidden="1" customHeight="1">
      <c r="AK19" s="254"/>
    </row>
    <row r="20" spans="1:44" s="1830" customFormat="1" ht="22.5" hidden="1" customHeight="1">
      <c r="L20" s="1246"/>
      <c r="M20" s="1278"/>
      <c r="N20" s="1278"/>
      <c r="O20" s="1283" t="s">
        <v>534</v>
      </c>
      <c r="P20" s="1278"/>
      <c r="Q20" s="1287"/>
      <c r="R20" s="1287"/>
      <c r="S20" s="648"/>
      <c r="Z20" s="1283"/>
      <c r="AB20" s="1283"/>
      <c r="AC20" s="1282"/>
      <c r="AH20" s="1283"/>
      <c r="AJ20" s="1283"/>
      <c r="AK20" s="1282"/>
      <c r="AN20" s="437"/>
      <c r="AO20" s="437"/>
      <c r="AP20" s="437"/>
      <c r="AQ20" s="437"/>
      <c r="AR20" s="437"/>
    </row>
    <row r="21" spans="1:44" s="1830" customFormat="1" ht="14.25" hidden="1" customHeight="1">
      <c r="L21" s="1246"/>
      <c r="M21" s="1278"/>
      <c r="N21" s="1278"/>
      <c r="O21" s="1278"/>
      <c r="P21" s="1278"/>
      <c r="Q21" s="1287"/>
      <c r="R21" s="1287"/>
      <c r="S21" s="648"/>
      <c r="AC21" s="1282"/>
      <c r="AK21" s="1282"/>
      <c r="AN21" s="437"/>
      <c r="AO21" s="437"/>
      <c r="AP21" s="437"/>
      <c r="AQ21" s="437"/>
      <c r="AR21" s="437"/>
    </row>
    <row r="22" spans="1:44" s="1830" customFormat="1" ht="33.7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674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747"/>
      <c r="U26" s="6747"/>
      <c r="V26" s="6747"/>
      <c r="W26" s="6747"/>
      <c r="X26" s="6747"/>
      <c r="Y26" s="6747"/>
      <c r="Z26" s="6747"/>
      <c r="AA26" s="6747"/>
      <c r="AB26" s="6747"/>
      <c r="AC26" s="6747"/>
      <c r="AD26" s="6747"/>
      <c r="AE26" s="6747"/>
      <c r="AF26" s="6747"/>
      <c r="AG26" s="6747"/>
      <c r="AH26" s="6747"/>
      <c r="AI26" s="6747"/>
      <c r="AJ26" s="6747"/>
      <c r="AK26" s="1152"/>
    </row>
    <row r="27" spans="1:4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253"/>
      <c r="AM29" s="200"/>
      <c r="AN29" s="296"/>
      <c r="AO29" s="296"/>
      <c r="AP29" s="296"/>
      <c r="AQ29" s="296"/>
      <c r="AR29" s="296"/>
    </row>
    <row r="30" spans="1:4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253"/>
      <c r="AM30" s="200"/>
      <c r="AN30" s="296"/>
      <c r="AO30" s="296"/>
      <c r="AP30" s="296"/>
      <c r="AQ30" s="296"/>
      <c r="AR30" s="296"/>
    </row>
    <row r="31" spans="1:4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253"/>
      <c r="AM31" s="200"/>
      <c r="AN31" s="296"/>
      <c r="AO31" s="296"/>
      <c r="AP31" s="296"/>
      <c r="AQ31" s="296"/>
      <c r="AR31" s="296"/>
    </row>
    <row r="32" spans="1:4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253"/>
      <c r="AM34" s="200"/>
      <c r="AN34" s="296"/>
      <c r="AO34" s="296"/>
      <c r="AP34" s="296"/>
      <c r="AQ34" s="296"/>
      <c r="AR34" s="296"/>
    </row>
    <row r="35" spans="1:44" s="2072" customFormat="1" ht="18.7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253"/>
      <c r="AM35" s="200"/>
      <c r="AN35" s="296"/>
      <c r="AO35" s="296"/>
      <c r="AP35" s="296"/>
      <c r="AQ35" s="296"/>
      <c r="AR35" s="296"/>
    </row>
    <row r="36" spans="1:44" s="207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544</v>
      </c>
      <c r="AD36" s="253"/>
      <c r="AE36" s="253"/>
      <c r="AF36" s="253"/>
      <c r="AG36" s="253"/>
      <c r="AH36" s="253"/>
      <c r="AI36" s="253"/>
      <c r="AJ36" s="253"/>
      <c r="AK36" s="198" t="s">
        <v>544</v>
      </c>
      <c r="AN36" s="296"/>
      <c r="AO36" s="296"/>
      <c r="AP36" s="296"/>
      <c r="AQ36" s="296"/>
      <c r="AR36" s="296"/>
    </row>
    <row r="37" spans="1:4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row>
    <row r="38" spans="1:4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c r="AM38" s="6629" t="s">
        <v>419</v>
      </c>
    </row>
    <row r="39" spans="1:44" ht="14.25" customHeight="1">
      <c r="Q39" s="305"/>
      <c r="R39" s="305"/>
      <c r="S39" s="6771" t="s">
        <v>87</v>
      </c>
      <c r="T39" s="6723" t="s">
        <v>545</v>
      </c>
      <c r="U39" s="220"/>
      <c r="V39" s="6772" t="s">
        <v>546</v>
      </c>
      <c r="W39" s="6773"/>
      <c r="X39" s="6787"/>
      <c r="Y39" s="6787"/>
      <c r="Z39" s="6773"/>
      <c r="AA39" s="6773"/>
      <c r="AB39" s="6774"/>
      <c r="AC39" s="6775" t="s">
        <v>547</v>
      </c>
      <c r="AD39" s="6772" t="s">
        <v>546</v>
      </c>
      <c r="AE39" s="6773"/>
      <c r="AF39" s="6787"/>
      <c r="AG39" s="6787"/>
      <c r="AH39" s="6773"/>
      <c r="AI39" s="6773"/>
      <c r="AJ39" s="6774"/>
      <c r="AK39" s="6775" t="s">
        <v>548</v>
      </c>
      <c r="AL39" s="6778" t="s">
        <v>549</v>
      </c>
      <c r="AM39" s="6629"/>
    </row>
    <row r="40" spans="1:44" ht="23.25" customHeight="1">
      <c r="Q40" s="305"/>
      <c r="R40" s="305"/>
      <c r="S40" s="6771"/>
      <c r="T40" s="6723"/>
      <c r="U40" s="938"/>
      <c r="V40" s="6788" t="s">
        <v>550</v>
      </c>
      <c r="W40" s="6708" t="s">
        <v>551</v>
      </c>
      <c r="X40" s="1292" t="s">
        <v>552</v>
      </c>
      <c r="Y40" s="1292"/>
      <c r="Z40" s="6605" t="s">
        <v>553</v>
      </c>
      <c r="AA40" s="6605"/>
      <c r="AB40" s="6599"/>
      <c r="AC40" s="6776"/>
      <c r="AD40" s="6788" t="s">
        <v>550</v>
      </c>
      <c r="AE40" s="6708" t="s">
        <v>551</v>
      </c>
      <c r="AF40" s="1292" t="s">
        <v>552</v>
      </c>
      <c r="AG40" s="1292"/>
      <c r="AH40" s="6605" t="s">
        <v>553</v>
      </c>
      <c r="AI40" s="6605"/>
      <c r="AJ40" s="6599"/>
      <c r="AK40" s="6776"/>
      <c r="AL40" s="6779"/>
      <c r="AM40" s="6629"/>
    </row>
    <row r="41" spans="1:44" s="5087" customFormat="1" ht="23.2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M41" s="1278"/>
      <c r="N41" s="1278"/>
      <c r="O41" s="1278"/>
      <c r="P41" s="1245"/>
      <c r="Q41" s="305"/>
      <c r="R41" s="305"/>
      <c r="S41" s="6771"/>
      <c r="T41" s="6723"/>
      <c r="U41" s="221"/>
      <c r="V41" s="6789"/>
      <c r="W41" s="6713"/>
      <c r="X41" s="1289" t="s">
        <v>561</v>
      </c>
      <c r="Y41" s="1289" t="s">
        <v>562</v>
      </c>
      <c r="Z41" s="1251" t="s">
        <v>563</v>
      </c>
      <c r="AA41" s="6731" t="s">
        <v>564</v>
      </c>
      <c r="AB41" s="6733"/>
      <c r="AC41" s="6777"/>
      <c r="AD41" s="6789"/>
      <c r="AE41" s="6713"/>
      <c r="AF41" s="1289" t="s">
        <v>561</v>
      </c>
      <c r="AG41" s="1289" t="s">
        <v>562</v>
      </c>
      <c r="AH41" s="1251" t="s">
        <v>563</v>
      </c>
      <c r="AI41" s="6731" t="s">
        <v>564</v>
      </c>
      <c r="AJ41" s="6733"/>
      <c r="AK41" s="6777"/>
      <c r="AL41" s="6780"/>
      <c r="AM41" s="6629"/>
      <c r="AN41" s="437"/>
      <c r="AO41" s="426"/>
      <c r="AP41" s="426"/>
      <c r="AQ41" s="426"/>
      <c r="AR41" s="426"/>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252">
        <f ca="1">OFFSET(V42,0,-1)+1</f>
        <v>3</v>
      </c>
      <c r="W42" s="1252"/>
      <c r="X42" s="1258">
        <f ca="1">OFFSET(X42,0,-1)+1</f>
        <v>1</v>
      </c>
      <c r="Y42" s="1258">
        <f ca="1">OFFSET(Y42,0,-1)+1</f>
        <v>2</v>
      </c>
      <c r="Z42" s="1252">
        <f ca="1">OFFSET(Z42,0,-1)+1</f>
        <v>3</v>
      </c>
      <c r="AA42" s="6770">
        <f ca="1">OFFSET(AA42,0,-1)+1</f>
        <v>4</v>
      </c>
      <c r="AB42" s="6770"/>
      <c r="AC42" s="1252">
        <f ca="1">OFFSET(AC42,0,-2)+1</f>
        <v>5</v>
      </c>
      <c r="AD42" s="1252">
        <f ca="1">OFFSET(AD42,0,-1)+1</f>
        <v>6</v>
      </c>
      <c r="AE42" s="1252"/>
      <c r="AF42" s="1258">
        <f ca="1">OFFSET(AF42,0,-1)+1</f>
        <v>1</v>
      </c>
      <c r="AG42" s="1258">
        <f ca="1">OFFSET(AG42,0,-1)+1</f>
        <v>2</v>
      </c>
      <c r="AH42" s="1252">
        <f ca="1">OFFSET(AH42,0,-1)+1</f>
        <v>3</v>
      </c>
      <c r="AI42" s="6770">
        <f ca="1">OFFSET(AI42,0,-1)+1</f>
        <v>4</v>
      </c>
      <c r="AJ42" s="6770"/>
      <c r="AK42" s="1252">
        <f ca="1">OFFSET(AK42,0,-2)+1</f>
        <v>5</v>
      </c>
      <c r="AL42" s="1154">
        <f ca="1">OFFSET(AL42,0,-1)</f>
        <v>5</v>
      </c>
      <c r="AM42" s="1252">
        <f ca="1">OFFSET(AM42,0,-1)+1</f>
        <v>6</v>
      </c>
      <c r="AN42" s="437"/>
      <c r="AO42" s="437"/>
      <c r="AP42" s="437"/>
      <c r="AQ42" s="437"/>
      <c r="AR42" s="437"/>
    </row>
    <row r="43" spans="1:44" ht="21" customHeight="1">
      <c r="A43" s="1279" t="s">
        <v>322</v>
      </c>
      <c r="B43" s="1279"/>
      <c r="C43" s="1279"/>
      <c r="D43" s="1279"/>
      <c r="E43" s="676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189</v>
      </c>
      <c r="U43" s="219"/>
      <c r="V43" s="6749"/>
      <c r="W43" s="6750"/>
      <c r="X43" s="6750"/>
      <c r="Y43" s="6750"/>
      <c r="Z43" s="6750"/>
      <c r="AA43" s="6750"/>
      <c r="AB43" s="6750"/>
      <c r="AC43" s="6751"/>
      <c r="AD43" s="6749" t="str">
        <f>INDEX(PT_DIFFERENTIATION_NTAR,MATCH(A43,PT_DIFFERENTIATION_NTAR_ID,0))</f>
        <v/>
      </c>
      <c r="AE43" s="6750"/>
      <c r="AF43" s="6750"/>
      <c r="AG43" s="6750"/>
      <c r="AH43" s="6750"/>
      <c r="AI43" s="6750"/>
      <c r="AJ43" s="6750"/>
      <c r="AK43" s="6750"/>
      <c r="AL43" s="675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322</v>
      </c>
      <c r="B44" s="1279" t="s">
        <v>323</v>
      </c>
      <c r="C44" s="1279"/>
      <c r="D44" s="1279"/>
      <c r="E44" s="6764"/>
      <c r="F44" s="6763">
        <v>1</v>
      </c>
      <c r="G44" s="1279"/>
      <c r="H44" s="1279"/>
      <c r="I44" s="1279"/>
      <c r="J44" s="1279"/>
      <c r="K44" s="1279"/>
      <c r="L44" s="1280"/>
      <c r="M44" s="1281"/>
      <c r="N44" s="1281"/>
      <c r="O44" s="1281"/>
      <c r="P44" s="1249"/>
      <c r="Q44" s="277"/>
      <c r="R44" s="278"/>
      <c r="S44" s="1253" t="str">
        <f>INDEX(PT_DIFFERENTIATION_NUM_TER,MATCH(B44,PT_DIFFERENTIATION_TER_ID,0))</f>
        <v>.</v>
      </c>
      <c r="T44" s="229" t="s">
        <v>517</v>
      </c>
      <c r="U44" s="219"/>
      <c r="V44" s="6749"/>
      <c r="W44" s="6750"/>
      <c r="X44" s="6750"/>
      <c r="Y44" s="6750"/>
      <c r="Z44" s="6750"/>
      <c r="AA44" s="6750"/>
      <c r="AB44" s="6750"/>
      <c r="AC44" s="6751"/>
      <c r="AD44" s="6749" t="str">
        <f>INDEX(PT_DIFFERENTIATION_TER,MATCH(B44,PT_DIFFERENTIATION_TER_ID,0))</f>
        <v/>
      </c>
      <c r="AE44" s="6750"/>
      <c r="AF44" s="6750"/>
      <c r="AG44" s="6750"/>
      <c r="AH44" s="6750"/>
      <c r="AI44" s="6750"/>
      <c r="AJ44" s="6750"/>
      <c r="AK44" s="6750"/>
      <c r="AL44" s="6751"/>
      <c r="AM44" s="1177" t="s">
        <v>518</v>
      </c>
      <c r="AO44" s="426"/>
      <c r="AP44" s="426" t="str">
        <f t="shared" si="1"/>
        <v>Территория действия тарифа</v>
      </c>
      <c r="AQ44" s="426"/>
      <c r="AR44" s="426"/>
    </row>
    <row r="45" spans="1:44" ht="23.25" customHeight="1">
      <c r="A45" s="1279" t="s">
        <v>322</v>
      </c>
      <c r="B45" s="1279" t="s">
        <v>323</v>
      </c>
      <c r="C45" s="1279" t="s">
        <v>324</v>
      </c>
      <c r="D45" s="1279"/>
      <c r="E45" s="6764"/>
      <c r="F45" s="6764"/>
      <c r="G45" s="6763">
        <v>1</v>
      </c>
      <c r="H45" s="1279"/>
      <c r="I45" s="1279"/>
      <c r="J45" s="1279"/>
      <c r="K45" s="1279"/>
      <c r="L45" s="1280"/>
      <c r="M45" s="1281"/>
      <c r="N45" s="1281"/>
      <c r="O45" s="1281"/>
      <c r="P45" s="279"/>
      <c r="Q45" s="277"/>
      <c r="R45" s="278"/>
      <c r="S45" s="1253" t="str">
        <f>INDEX(PT_DIFFERENTIATION_NUM_CS,MATCH(C45,PT_DIFFERENTIATION_CS_ID,0))</f>
        <v>..</v>
      </c>
      <c r="T45" s="230" t="s">
        <v>519</v>
      </c>
      <c r="U45" s="219"/>
      <c r="V45" s="6749"/>
      <c r="W45" s="6750"/>
      <c r="X45" s="6750"/>
      <c r="Y45" s="6750"/>
      <c r="Z45" s="6750"/>
      <c r="AA45" s="6750"/>
      <c r="AB45" s="6750"/>
      <c r="AC45" s="6751"/>
      <c r="AD45" s="6749" t="str">
        <f>INDEX(PT_DIFFERENTIATION_CS,MATCH(C45,PT_DIFFERENTIATION_CS_ID,0))</f>
        <v/>
      </c>
      <c r="AE45" s="6750"/>
      <c r="AF45" s="6750"/>
      <c r="AG45" s="6750"/>
      <c r="AH45" s="6750"/>
      <c r="AI45" s="6750"/>
      <c r="AJ45" s="6750"/>
      <c r="AK45" s="6750"/>
      <c r="AL45" s="6751"/>
      <c r="AM45" s="1177" t="s">
        <v>520</v>
      </c>
      <c r="AO45" s="426"/>
      <c r="AP45" s="426" t="str">
        <f t="shared" si="1"/>
        <v xml:space="preserve">Наименование системы теплоснабжения </v>
      </c>
      <c r="AQ45" s="426"/>
      <c r="AR45" s="426"/>
    </row>
    <row r="46" spans="1:44" ht="21" customHeight="1">
      <c r="A46" s="1279" t="s">
        <v>322</v>
      </c>
      <c r="B46" s="1279" t="s">
        <v>323</v>
      </c>
      <c r="C46" s="1279" t="s">
        <v>324</v>
      </c>
      <c r="D46" s="1279" t="s">
        <v>325</v>
      </c>
      <c r="E46" s="6764"/>
      <c r="F46" s="6764"/>
      <c r="G46" s="6764"/>
      <c r="H46" s="6763">
        <v>1</v>
      </c>
      <c r="I46" s="1279"/>
      <c r="J46" s="1279"/>
      <c r="K46" s="1279"/>
      <c r="L46" s="1280"/>
      <c r="M46" s="1281"/>
      <c r="N46" s="1281"/>
      <c r="O46" s="1281"/>
      <c r="P46" s="279"/>
      <c r="Q46" s="277"/>
      <c r="R46" s="278"/>
      <c r="S46" s="1253" t="str">
        <f>INDEX(PT_DIFFERENTIATION_NUM_IST_TE,MATCH(D46,PT_DIFFERENTIATION_IST_TE_ID,0))</f>
        <v>...</v>
      </c>
      <c r="T46" s="231" t="s">
        <v>521</v>
      </c>
      <c r="U46" s="219"/>
      <c r="V46" s="6749"/>
      <c r="W46" s="6750"/>
      <c r="X46" s="6750"/>
      <c r="Y46" s="6750"/>
      <c r="Z46" s="6750"/>
      <c r="AA46" s="6750"/>
      <c r="AB46" s="6750"/>
      <c r="AC46" s="6751"/>
      <c r="AD46" s="6749" t="str">
        <f>INDEX(PT_DIFFERENTIATION_IST_TE,MATCH(D46,PT_DIFFERENTIATION_IST_TE_ID,0))</f>
        <v/>
      </c>
      <c r="AE46" s="6750"/>
      <c r="AF46" s="6750"/>
      <c r="AG46" s="6750"/>
      <c r="AH46" s="6750"/>
      <c r="AI46" s="6750"/>
      <c r="AJ46" s="6750"/>
      <c r="AK46" s="6750"/>
      <c r="AL46" s="6751"/>
      <c r="AM46" s="1177" t="s">
        <v>522</v>
      </c>
      <c r="AO46" s="426"/>
      <c r="AP46" s="426" t="str">
        <f t="shared" si="1"/>
        <v xml:space="preserve">Источник тепловой энергии  </v>
      </c>
      <c r="AQ46" s="426"/>
      <c r="AR46" s="426"/>
    </row>
    <row r="47" spans="1:44" ht="47.25" customHeight="1">
      <c r="A47" s="1279" t="s">
        <v>322</v>
      </c>
      <c r="B47" s="1279" t="s">
        <v>323</v>
      </c>
      <c r="C47" s="1279" t="s">
        <v>324</v>
      </c>
      <c r="D47" s="1279" t="s">
        <v>325</v>
      </c>
      <c r="E47" s="6764"/>
      <c r="F47" s="6764"/>
      <c r="G47" s="6764"/>
      <c r="H47" s="6764"/>
      <c r="I47" s="6761" t="str">
        <f>S46&amp;".1"</f>
        <v>....1</v>
      </c>
      <c r="J47" s="1279"/>
      <c r="K47" s="1279"/>
      <c r="L47" s="1280" t="s">
        <v>523</v>
      </c>
      <c r="P47" s="6762">
        <v>1</v>
      </c>
      <c r="Q47" s="1248"/>
      <c r="R47" s="281"/>
      <c r="S47" s="1253" t="str">
        <f>$I47</f>
        <v>....1</v>
      </c>
      <c r="T47" s="204" t="s">
        <v>524</v>
      </c>
      <c r="U47" s="219"/>
      <c r="V47" s="6752"/>
      <c r="W47" s="6753"/>
      <c r="X47" s="6753"/>
      <c r="Y47" s="6753"/>
      <c r="Z47" s="6753"/>
      <c r="AA47" s="6753"/>
      <c r="AB47" s="6753"/>
      <c r="AC47" s="6754"/>
      <c r="AD47" s="6752"/>
      <c r="AE47" s="6753"/>
      <c r="AF47" s="6753"/>
      <c r="AG47" s="6753"/>
      <c r="AH47" s="6753"/>
      <c r="AI47" s="6753"/>
      <c r="AJ47" s="6753"/>
      <c r="AK47" s="6753"/>
      <c r="AL47" s="6754"/>
      <c r="AM47" s="1177" t="s">
        <v>525</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322</v>
      </c>
      <c r="B48" s="1279" t="s">
        <v>323</v>
      </c>
      <c r="C48" s="1279" t="s">
        <v>324</v>
      </c>
      <c r="D48" s="1279" t="s">
        <v>325</v>
      </c>
      <c r="E48" s="6764"/>
      <c r="F48" s="6764"/>
      <c r="G48" s="6764"/>
      <c r="H48" s="6764"/>
      <c r="I48" s="6784"/>
      <c r="J48" s="6761" t="str">
        <f>I47&amp;".1"</f>
        <v>....1.1</v>
      </c>
      <c r="K48" s="1279"/>
      <c r="L48" s="1280" t="s">
        <v>526</v>
      </c>
      <c r="P48" s="6762"/>
      <c r="Q48" s="6762">
        <v>1</v>
      </c>
      <c r="R48" s="282"/>
      <c r="S48" s="1253" t="str">
        <f>$J48</f>
        <v>....1.1</v>
      </c>
      <c r="T48" s="205" t="s">
        <v>527</v>
      </c>
      <c r="U48" s="219"/>
      <c r="V48" s="6752"/>
      <c r="W48" s="6753"/>
      <c r="X48" s="6753"/>
      <c r="Y48" s="6753"/>
      <c r="Z48" s="6753"/>
      <c r="AA48" s="6753"/>
      <c r="AB48" s="6753"/>
      <c r="AC48" s="6754"/>
      <c r="AD48" s="6752"/>
      <c r="AE48" s="6753"/>
      <c r="AF48" s="6753"/>
      <c r="AG48" s="6753"/>
      <c r="AH48" s="6753"/>
      <c r="AI48" s="6753"/>
      <c r="AJ48" s="6753"/>
      <c r="AK48" s="6753"/>
      <c r="AL48" s="6754"/>
      <c r="AM48" s="1177" t="s">
        <v>528</v>
      </c>
      <c r="AO48" s="426"/>
      <c r="AP48" s="426" t="str">
        <f t="shared" si="1"/>
        <v>Группа потребителей</v>
      </c>
      <c r="AQ48" s="426"/>
      <c r="AR48" s="426"/>
    </row>
    <row r="49" spans="1:44" ht="21" customHeight="1">
      <c r="A49" s="1279" t="s">
        <v>322</v>
      </c>
      <c r="B49" s="1279" t="s">
        <v>323</v>
      </c>
      <c r="C49" s="1279" t="s">
        <v>324</v>
      </c>
      <c r="D49" s="1279" t="s">
        <v>325</v>
      </c>
      <c r="E49" s="6764"/>
      <c r="F49" s="6764"/>
      <c r="G49" s="6764"/>
      <c r="H49" s="6764"/>
      <c r="I49" s="6784"/>
      <c r="J49" s="6784"/>
      <c r="K49" s="6761" t="str">
        <f>J48&amp;".1"</f>
        <v>....1.1.1</v>
      </c>
      <c r="L49" s="1280" t="s">
        <v>529</v>
      </c>
      <c r="P49" s="6762"/>
      <c r="Q49" s="6762"/>
      <c r="R49" s="282">
        <v>1</v>
      </c>
      <c r="S49" s="1253" t="str">
        <f>$K49</f>
        <v>....1.1.1</v>
      </c>
      <c r="T49" s="1264"/>
      <c r="U49" s="219"/>
      <c r="V49" s="251"/>
      <c r="W49" s="668"/>
      <c r="X49" s="251"/>
      <c r="Y49" s="318"/>
      <c r="Z49" s="6766"/>
      <c r="AA49" s="6610" t="s">
        <v>61</v>
      </c>
      <c r="AB49" s="6766"/>
      <c r="AC49" s="6610" t="s">
        <v>61</v>
      </c>
      <c r="AD49" s="251"/>
      <c r="AE49" s="668"/>
      <c r="AF49" s="251"/>
      <c r="AG49" s="318"/>
      <c r="AH49" s="6766"/>
      <c r="AI49" s="6610" t="s">
        <v>61</v>
      </c>
      <c r="AJ49" s="6785"/>
      <c r="AK49" s="6610" t="s">
        <v>61</v>
      </c>
      <c r="AL49" s="1265"/>
      <c r="AM49" s="6758" t="s">
        <v>530</v>
      </c>
      <c r="AN49" s="437" t="e">
        <f ca="1">STRCHECKDATE(V50:AL50)</f>
        <v>#NAME?</v>
      </c>
      <c r="AO49" s="426"/>
      <c r="AP49" s="426" t="str">
        <f t="shared" si="1"/>
        <v/>
      </c>
      <c r="AQ49" s="426"/>
      <c r="AR49" s="426"/>
    </row>
    <row r="50" spans="1:44" ht="0.75" customHeight="1">
      <c r="A50" s="1279" t="s">
        <v>322</v>
      </c>
      <c r="B50" s="1279" t="s">
        <v>323</v>
      </c>
      <c r="C50" s="1279" t="s">
        <v>324</v>
      </c>
      <c r="D50" s="1279" t="s">
        <v>325</v>
      </c>
      <c r="E50" s="6764"/>
      <c r="F50" s="6764"/>
      <c r="G50" s="6764"/>
      <c r="H50" s="6764"/>
      <c r="I50" s="6784"/>
      <c r="J50" s="6784"/>
      <c r="K50" s="6761"/>
      <c r="L50" s="1280"/>
      <c r="P50" s="6762"/>
      <c r="Q50" s="6762"/>
      <c r="R50" s="282"/>
      <c r="S50" s="1259"/>
      <c r="T50" s="219"/>
      <c r="U50" s="219"/>
      <c r="V50" s="251"/>
      <c r="W50" s="251"/>
      <c r="X50" s="251"/>
      <c r="Y50" s="255" t="str">
        <f>Z49&amp;"-"&amp;AB49</f>
        <v>-</v>
      </c>
      <c r="Z50" s="6767"/>
      <c r="AA50" s="6610"/>
      <c r="AB50" s="6767"/>
      <c r="AC50" s="6610"/>
      <c r="AD50" s="251"/>
      <c r="AE50" s="251"/>
      <c r="AF50" s="251"/>
      <c r="AG50" s="255" t="str">
        <f>AH49&amp;"-"&amp;AJ49</f>
        <v>-</v>
      </c>
      <c r="AH50" s="6767"/>
      <c r="AI50" s="6610"/>
      <c r="AJ50" s="6786"/>
      <c r="AK50" s="6610"/>
      <c r="AL50" s="1266"/>
      <c r="AM50" s="6759"/>
      <c r="AO50" s="426"/>
      <c r="AP50" s="426" t="str">
        <f t="shared" si="1"/>
        <v/>
      </c>
      <c r="AQ50" s="426"/>
      <c r="AR50" s="426"/>
    </row>
    <row r="51" spans="1:44" ht="11.25" customHeight="1">
      <c r="A51" s="1279" t="s">
        <v>322</v>
      </c>
      <c r="B51" s="1279" t="s">
        <v>323</v>
      </c>
      <c r="C51" s="1279" t="s">
        <v>324</v>
      </c>
      <c r="D51" s="1279" t="s">
        <v>325</v>
      </c>
      <c r="E51" s="6764"/>
      <c r="F51" s="6764"/>
      <c r="G51" s="6764"/>
      <c r="H51" s="6764"/>
      <c r="I51" s="6784"/>
      <c r="J51" s="6761"/>
      <c r="K51" s="1279"/>
      <c r="L51" s="1280"/>
      <c r="P51" s="6762"/>
      <c r="Q51" s="6762"/>
      <c r="R51" s="281"/>
      <c r="S51" s="1198"/>
      <c r="T51" s="207" t="s">
        <v>531</v>
      </c>
      <c r="U51" s="295"/>
      <c r="V51" s="295"/>
      <c r="W51" s="295"/>
      <c r="X51" s="295"/>
      <c r="Y51" s="295"/>
      <c r="Z51" s="295"/>
      <c r="AA51" s="295"/>
      <c r="AB51" s="295"/>
      <c r="AC51" s="295"/>
      <c r="AD51" s="295"/>
      <c r="AE51" s="295"/>
      <c r="AF51" s="295"/>
      <c r="AG51" s="295"/>
      <c r="AH51" s="295"/>
      <c r="AI51" s="295"/>
      <c r="AJ51" s="295"/>
      <c r="AK51" s="295"/>
      <c r="AL51" s="250"/>
      <c r="AM51" s="6760"/>
      <c r="AO51" s="426"/>
      <c r="AP51" s="426" t="str">
        <f t="shared" si="1"/>
        <v>Добавить вид теплоносителя (параметры теплоносителя)</v>
      </c>
      <c r="AQ51" s="426"/>
      <c r="AR51" s="426"/>
    </row>
    <row r="52" spans="1:44" ht="11.25" customHeight="1">
      <c r="A52" s="1279" t="s">
        <v>322</v>
      </c>
      <c r="B52" s="1279" t="s">
        <v>323</v>
      </c>
      <c r="C52" s="1279" t="s">
        <v>324</v>
      </c>
      <c r="D52" s="1279" t="s">
        <v>325</v>
      </c>
      <c r="E52" s="6764"/>
      <c r="F52" s="6764"/>
      <c r="G52" s="6764"/>
      <c r="H52" s="6764"/>
      <c r="I52" s="6761"/>
      <c r="J52" s="1279"/>
      <c r="K52" s="1279"/>
      <c r="L52" s="1280"/>
      <c r="P52" s="6762"/>
      <c r="Q52" s="1248"/>
      <c r="R52" s="281"/>
      <c r="S52" s="1198"/>
      <c r="T52" s="206" t="s">
        <v>532</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322</v>
      </c>
      <c r="B53" s="1279" t="s">
        <v>323</v>
      </c>
      <c r="C53" s="1279" t="s">
        <v>324</v>
      </c>
      <c r="D53" s="1279" t="s">
        <v>325</v>
      </c>
      <c r="E53" s="6764"/>
      <c r="F53" s="6764"/>
      <c r="G53" s="6764"/>
      <c r="H53" s="6763"/>
      <c r="I53" s="1279"/>
      <c r="J53" s="1279"/>
      <c r="K53" s="1279"/>
      <c r="L53" s="1280"/>
      <c r="M53" s="1281"/>
      <c r="N53" s="1281"/>
      <c r="O53" s="462"/>
      <c r="P53" s="285"/>
      <c r="Q53" s="304"/>
      <c r="R53" s="280"/>
      <c r="S53" s="1198"/>
      <c r="T53" s="292" t="s">
        <v>533</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2067" customFormat="1" ht="0.75" customHeight="1">
      <c r="A54" s="1260" t="s">
        <v>322</v>
      </c>
      <c r="B54" s="1260" t="s">
        <v>323</v>
      </c>
      <c r="C54" s="1260" t="s">
        <v>324</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067" customFormat="1" ht="0.75" customHeight="1">
      <c r="A55" s="1260" t="s">
        <v>322</v>
      </c>
      <c r="B55" s="1260" t="s">
        <v>323</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322</v>
      </c>
      <c r="B56" s="1260"/>
      <c r="C56" s="1260"/>
      <c r="D56" s="1260"/>
      <c r="E56" s="6763"/>
      <c r="F56" s="1260"/>
      <c r="G56" s="1260"/>
      <c r="H56" s="1260"/>
      <c r="I56" s="1260"/>
      <c r="J56" s="1260"/>
      <c r="K56" s="1260"/>
      <c r="L56" s="1263"/>
      <c r="M56" s="1239"/>
      <c r="N56" s="1239"/>
      <c r="O56" s="444"/>
      <c r="P56" s="313"/>
      <c r="Q56" s="1261"/>
      <c r="R56" s="313"/>
      <c r="S56" s="1240"/>
      <c r="T56" s="1243" t="s">
        <v>272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067"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273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6783"/>
      <c r="U59" s="6783"/>
      <c r="V59" s="6783"/>
      <c r="W59" s="6783"/>
      <c r="X59" s="6783"/>
      <c r="Y59" s="6783"/>
      <c r="Z59" s="6783"/>
      <c r="AA59" s="6783"/>
      <c r="AB59" s="6783"/>
      <c r="AC59" s="6783"/>
      <c r="AD59" s="6783"/>
      <c r="AE59" s="6783"/>
      <c r="AF59" s="6783"/>
      <c r="AG59" s="6783"/>
      <c r="AH59" s="6783"/>
      <c r="AI59" s="6783"/>
      <c r="AJ59" s="6783"/>
      <c r="AK59" s="6783"/>
      <c r="AL59" s="6783"/>
      <c r="AM59" s="6783"/>
    </row>
    <row r="60" spans="1:44" ht="75" customHeight="1">
      <c r="O60" s="462"/>
      <c r="T60" s="6783"/>
      <c r="U60" s="6783"/>
      <c r="V60" s="6783"/>
      <c r="W60" s="6783"/>
      <c r="X60" s="6783"/>
      <c r="Y60" s="6783"/>
      <c r="Z60" s="6783"/>
      <c r="AA60" s="6783"/>
      <c r="AB60" s="6783"/>
      <c r="AC60" s="6783"/>
      <c r="AD60" s="6783"/>
      <c r="AE60" s="6783"/>
      <c r="AF60" s="6783"/>
      <c r="AG60" s="6783"/>
      <c r="AH60" s="6783"/>
      <c r="AI60" s="6783"/>
      <c r="AJ60" s="6783"/>
      <c r="AK60" s="6783"/>
      <c r="AL60" s="6783"/>
      <c r="AM60" s="6783"/>
    </row>
    <row r="61" spans="1:44" ht="14.25" customHeight="1">
      <c r="O61" s="462"/>
    </row>
    <row r="62" spans="1:44" ht="18" customHeight="1">
      <c r="O62" s="462"/>
      <c r="S62" s="1164"/>
      <c r="T62" s="6783"/>
      <c r="U62" s="6783"/>
      <c r="V62" s="6783"/>
      <c r="W62" s="6783"/>
      <c r="X62" s="6783"/>
      <c r="Y62" s="6783"/>
      <c r="Z62" s="6783"/>
      <c r="AA62" s="6783"/>
      <c r="AB62" s="6783"/>
      <c r="AC62" s="6783"/>
      <c r="AD62" s="6783"/>
      <c r="AE62" s="6783"/>
      <c r="AF62" s="6783"/>
      <c r="AG62" s="6783"/>
      <c r="AH62" s="6783"/>
      <c r="AI62" s="6783"/>
      <c r="AJ62" s="6783"/>
      <c r="AK62" s="6783"/>
      <c r="AL62" s="6783"/>
      <c r="AM62" s="6783"/>
    </row>
    <row r="63" spans="1:44" ht="18" customHeight="1">
      <c r="O63" s="462"/>
      <c r="T63" s="6783"/>
      <c r="U63" s="6783"/>
      <c r="V63" s="6783"/>
      <c r="W63" s="6783"/>
      <c r="X63" s="6783"/>
      <c r="Y63" s="6783"/>
      <c r="Z63" s="6783"/>
      <c r="AA63" s="6783"/>
      <c r="AB63" s="6783"/>
      <c r="AC63" s="6783"/>
      <c r="AD63" s="6783"/>
      <c r="AE63" s="6783"/>
      <c r="AF63" s="6783"/>
      <c r="AG63" s="6783"/>
      <c r="AH63" s="6783"/>
      <c r="AI63" s="6783"/>
      <c r="AJ63" s="6783"/>
      <c r="AK63" s="6783"/>
      <c r="AL63" s="6783"/>
      <c r="AM63" s="6783"/>
    </row>
    <row r="64" spans="1:44" ht="38.25" customHeight="1">
      <c r="O64" s="462"/>
      <c r="S64" s="1164"/>
      <c r="T64" s="6783"/>
      <c r="U64" s="6783"/>
      <c r="V64" s="6783"/>
      <c r="W64" s="6783"/>
      <c r="X64" s="6783"/>
      <c r="Y64" s="6783"/>
      <c r="Z64" s="6783"/>
      <c r="AA64" s="6783"/>
      <c r="AB64" s="6783"/>
      <c r="AC64" s="6783"/>
      <c r="AD64" s="6783"/>
      <c r="AE64" s="6783"/>
      <c r="AF64" s="6783"/>
      <c r="AG64" s="6783"/>
      <c r="AH64" s="6783"/>
      <c r="AI64" s="6783"/>
      <c r="AJ64" s="6783"/>
      <c r="AK64" s="6783"/>
      <c r="AL64" s="6783"/>
      <c r="AM64" s="678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F101"/>
  <sheetViews>
    <sheetView showGridLines="0" topLeftCell="Q25" zoomScale="90" workbookViewId="0">
      <selection activeCell="AD84" sqref="AD84:BZ84"/>
    </sheetView>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3" hidden="1" customWidth="1"/>
    <col min="17" max="18" width="3.7109375" style="2075" customWidth="1"/>
    <col min="19" max="19" width="12.7109375" style="2076" customWidth="1"/>
    <col min="20" max="20" width="32" style="2042" customWidth="1"/>
    <col min="21" max="21" width="0.140625" style="2042" customWidth="1"/>
    <col min="22" max="22" width="24.7109375" style="2042" hidden="1" customWidth="1"/>
    <col min="23" max="23" width="0.140625" style="2042" hidden="1" customWidth="1"/>
    <col min="24" max="25" width="24.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24.7109375" style="2042" customWidth="1"/>
    <col min="31" max="31" width="0.140625" style="2042" customWidth="1"/>
    <col min="32" max="33" width="24.7109375" style="2042" customWidth="1"/>
    <col min="34" max="34" width="11.7109375" style="2042" customWidth="1"/>
    <col min="35" max="35" width="3.7109375" style="2042" customWidth="1"/>
    <col min="36" max="36" width="11.7109375" style="2042" customWidth="1"/>
    <col min="37" max="37" width="8.5703125" style="2042" customWidth="1"/>
    <col min="77" max="77" width="10.5703125" hidden="1"/>
    <col min="78" max="78" width="4.7109375" style="2042" customWidth="1"/>
    <col min="79" max="79" width="115.7109375" style="2042" customWidth="1"/>
    <col min="80" max="81" width="10.5703125" style="1817"/>
    <col min="82" max="82" width="11.140625" style="1817" customWidth="1"/>
    <col min="83" max="84" width="10.5703125" style="1817"/>
  </cols>
  <sheetData>
    <row r="1" spans="1:84" ht="14.25" hidden="1" customHeight="1">
      <c r="Y1" s="254"/>
      <c r="Z1" s="254"/>
      <c r="AG1" s="254"/>
      <c r="AH1" s="254"/>
      <c r="AL1" s="2077"/>
      <c r="AM1" s="2077"/>
      <c r="AN1" s="2077"/>
      <c r="AO1" s="2077"/>
      <c r="AP1" s="2077"/>
      <c r="AQ1" s="2077"/>
      <c r="AR1" s="2077"/>
      <c r="AS1" s="2077"/>
      <c r="AT1" s="2077"/>
      <c r="AU1" s="2077"/>
      <c r="AV1" s="2077"/>
      <c r="AW1" s="2077"/>
      <c r="AX1" s="2077"/>
      <c r="AY1" s="2077"/>
      <c r="AZ1" s="2077"/>
      <c r="BA1" s="2077"/>
      <c r="BB1" s="2077"/>
      <c r="BC1" s="2077"/>
      <c r="BD1" s="2077"/>
      <c r="BE1" s="2077"/>
      <c r="BF1" s="2077"/>
      <c r="BG1" s="2077"/>
      <c r="BH1" s="2077"/>
      <c r="BI1" s="2077"/>
      <c r="BJ1" s="2077"/>
      <c r="BK1" s="2077"/>
      <c r="BL1" s="2077"/>
      <c r="BM1" s="2077"/>
      <c r="BN1" s="2077"/>
      <c r="BO1" s="2077"/>
      <c r="BP1" s="2077"/>
      <c r="BQ1" s="2077"/>
      <c r="BR1" s="2077"/>
      <c r="BS1" s="2077"/>
      <c r="BT1" s="2077"/>
      <c r="BU1" s="2077"/>
      <c r="BV1" s="2077"/>
      <c r="BW1" s="2077"/>
      <c r="BX1" s="2077"/>
      <c r="BY1" s="2077"/>
    </row>
    <row r="2" spans="1:84" ht="21" hidden="1" customHeight="1">
      <c r="A2" s="1279"/>
      <c r="B2" s="1279"/>
      <c r="C2" s="1279"/>
      <c r="D2" s="1279"/>
      <c r="E2" s="6763">
        <v>1</v>
      </c>
      <c r="F2" s="1279"/>
      <c r="G2" s="1279"/>
      <c r="H2" s="1279"/>
      <c r="I2" s="1279"/>
      <c r="J2" s="1279"/>
      <c r="K2" s="1279"/>
      <c r="L2" s="1280"/>
      <c r="M2" s="1281"/>
      <c r="N2" s="1281"/>
      <c r="O2" s="1281"/>
      <c r="P2" s="286"/>
      <c r="Q2" s="285"/>
      <c r="R2" s="280"/>
      <c r="S2" s="1253"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49"/>
      <c r="AM2" s="6750"/>
      <c r="AN2" s="6750"/>
      <c r="AO2" s="6750"/>
      <c r="AP2" s="6750"/>
      <c r="AQ2" s="6750"/>
      <c r="AR2" s="6750"/>
      <c r="AS2" s="6751"/>
      <c r="AT2" s="6749"/>
      <c r="AU2" s="6750"/>
      <c r="AV2" s="6750"/>
      <c r="AW2" s="6750"/>
      <c r="AX2" s="6750"/>
      <c r="AY2" s="6750"/>
      <c r="AZ2" s="6750"/>
      <c r="BA2" s="6751"/>
      <c r="BB2" s="6749"/>
      <c r="BC2" s="6750"/>
      <c r="BD2" s="6750"/>
      <c r="BE2" s="6750"/>
      <c r="BF2" s="6750"/>
      <c r="BG2" s="6750"/>
      <c r="BH2" s="6750"/>
      <c r="BI2" s="6751"/>
      <c r="BJ2" s="6749"/>
      <c r="BK2" s="6750"/>
      <c r="BL2" s="6750"/>
      <c r="BM2" s="6750"/>
      <c r="BN2" s="6750"/>
      <c r="BO2" s="6750"/>
      <c r="BP2" s="6750"/>
      <c r="BQ2" s="6751"/>
      <c r="BR2" s="6749"/>
      <c r="BS2" s="6750"/>
      <c r="BT2" s="6750"/>
      <c r="BU2" s="6750"/>
      <c r="BV2" s="6750"/>
      <c r="BW2" s="6750"/>
      <c r="BX2" s="6750"/>
      <c r="BY2" s="6751"/>
      <c r="BZ2" s="6751"/>
      <c r="CA2" s="1177" t="s">
        <v>516</v>
      </c>
      <c r="CC2" s="426"/>
      <c r="CD2" s="426" t="str">
        <f t="shared" ref="CD2:CD15" si="0">IF(T2="","",T2)</f>
        <v>Наименование тарифа</v>
      </c>
      <c r="CE2" s="426"/>
      <c r="CF2" s="426"/>
    </row>
    <row r="3" spans="1:84" ht="21" hidden="1" customHeight="1">
      <c r="A3" s="1279"/>
      <c r="B3" s="1279"/>
      <c r="C3" s="1279"/>
      <c r="D3" s="1279"/>
      <c r="E3" s="6764"/>
      <c r="F3" s="6763">
        <v>1</v>
      </c>
      <c r="G3" s="1279"/>
      <c r="H3" s="1279"/>
      <c r="I3" s="1279"/>
      <c r="J3" s="1279"/>
      <c r="K3" s="1279"/>
      <c r="L3" s="1280"/>
      <c r="M3" s="1281"/>
      <c r="N3" s="1281"/>
      <c r="O3" s="1281"/>
      <c r="P3" s="1249"/>
      <c r="Q3" s="277"/>
      <c r="R3" s="278"/>
      <c r="S3" s="1253"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49"/>
      <c r="AM3" s="6750"/>
      <c r="AN3" s="6750"/>
      <c r="AO3" s="6750"/>
      <c r="AP3" s="6750"/>
      <c r="AQ3" s="6750"/>
      <c r="AR3" s="6750"/>
      <c r="AS3" s="6751"/>
      <c r="AT3" s="6749"/>
      <c r="AU3" s="6750"/>
      <c r="AV3" s="6750"/>
      <c r="AW3" s="6750"/>
      <c r="AX3" s="6750"/>
      <c r="AY3" s="6750"/>
      <c r="AZ3" s="6750"/>
      <c r="BA3" s="6751"/>
      <c r="BB3" s="6749"/>
      <c r="BC3" s="6750"/>
      <c r="BD3" s="6750"/>
      <c r="BE3" s="6750"/>
      <c r="BF3" s="6750"/>
      <c r="BG3" s="6750"/>
      <c r="BH3" s="6750"/>
      <c r="BI3" s="6751"/>
      <c r="BJ3" s="6749"/>
      <c r="BK3" s="6750"/>
      <c r="BL3" s="6750"/>
      <c r="BM3" s="6750"/>
      <c r="BN3" s="6750"/>
      <c r="BO3" s="6750"/>
      <c r="BP3" s="6750"/>
      <c r="BQ3" s="6751"/>
      <c r="BR3" s="6749"/>
      <c r="BS3" s="6750"/>
      <c r="BT3" s="6750"/>
      <c r="BU3" s="6750"/>
      <c r="BV3" s="6750"/>
      <c r="BW3" s="6750"/>
      <c r="BX3" s="6750"/>
      <c r="BY3" s="6751"/>
      <c r="BZ3" s="6751"/>
      <c r="CA3" s="1177" t="s">
        <v>518</v>
      </c>
      <c r="CC3" s="426"/>
      <c r="CD3" s="426" t="str">
        <f t="shared" si="0"/>
        <v>Территория действия тарифа</v>
      </c>
      <c r="CE3" s="426"/>
      <c r="CF3" s="426"/>
    </row>
    <row r="4" spans="1:84" ht="23.25" hidden="1" customHeight="1">
      <c r="A4" s="1279"/>
      <c r="B4" s="1279"/>
      <c r="C4" s="1279"/>
      <c r="D4" s="1279"/>
      <c r="E4" s="6764"/>
      <c r="F4" s="6764"/>
      <c r="G4" s="6763">
        <v>1</v>
      </c>
      <c r="H4" s="1279"/>
      <c r="I4" s="1279"/>
      <c r="J4" s="1279"/>
      <c r="K4" s="1279"/>
      <c r="L4" s="1280"/>
      <c r="M4" s="1281"/>
      <c r="N4" s="1281"/>
      <c r="O4" s="1281"/>
      <c r="P4" s="279"/>
      <c r="Q4" s="277"/>
      <c r="R4" s="278"/>
      <c r="S4" s="1253"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49"/>
      <c r="AM4" s="6750"/>
      <c r="AN4" s="6750"/>
      <c r="AO4" s="6750"/>
      <c r="AP4" s="6750"/>
      <c r="AQ4" s="6750"/>
      <c r="AR4" s="6750"/>
      <c r="AS4" s="6751"/>
      <c r="AT4" s="6749"/>
      <c r="AU4" s="6750"/>
      <c r="AV4" s="6750"/>
      <c r="AW4" s="6750"/>
      <c r="AX4" s="6750"/>
      <c r="AY4" s="6750"/>
      <c r="AZ4" s="6750"/>
      <c r="BA4" s="6751"/>
      <c r="BB4" s="6749"/>
      <c r="BC4" s="6750"/>
      <c r="BD4" s="6750"/>
      <c r="BE4" s="6750"/>
      <c r="BF4" s="6750"/>
      <c r="BG4" s="6750"/>
      <c r="BH4" s="6750"/>
      <c r="BI4" s="6751"/>
      <c r="BJ4" s="6749"/>
      <c r="BK4" s="6750"/>
      <c r="BL4" s="6750"/>
      <c r="BM4" s="6750"/>
      <c r="BN4" s="6750"/>
      <c r="BO4" s="6750"/>
      <c r="BP4" s="6750"/>
      <c r="BQ4" s="6751"/>
      <c r="BR4" s="6749"/>
      <c r="BS4" s="6750"/>
      <c r="BT4" s="6750"/>
      <c r="BU4" s="6750"/>
      <c r="BV4" s="6750"/>
      <c r="BW4" s="6750"/>
      <c r="BX4" s="6750"/>
      <c r="BY4" s="6751"/>
      <c r="BZ4" s="6751"/>
      <c r="CA4" s="1177" t="s">
        <v>520</v>
      </c>
      <c r="CC4" s="426"/>
      <c r="CD4" s="426" t="str">
        <f t="shared" si="0"/>
        <v xml:space="preserve">Наименование системы теплоснабжения </v>
      </c>
      <c r="CE4" s="426"/>
      <c r="CF4" s="426"/>
    </row>
    <row r="5" spans="1:84" ht="21" hidden="1" customHeight="1">
      <c r="A5" s="1279"/>
      <c r="B5" s="1279"/>
      <c r="C5" s="1279"/>
      <c r="D5" s="1279"/>
      <c r="E5" s="6764"/>
      <c r="F5" s="6764"/>
      <c r="G5" s="6764"/>
      <c r="H5" s="6763">
        <v>1</v>
      </c>
      <c r="I5" s="1279"/>
      <c r="J5" s="1279"/>
      <c r="K5" s="1279"/>
      <c r="L5" s="1280"/>
      <c r="M5" s="1281"/>
      <c r="N5" s="1281"/>
      <c r="O5" s="1281"/>
      <c r="P5" s="279"/>
      <c r="Q5" s="277"/>
      <c r="R5" s="278"/>
      <c r="S5" s="1253"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49"/>
      <c r="AM5" s="6750"/>
      <c r="AN5" s="6750"/>
      <c r="AO5" s="6750"/>
      <c r="AP5" s="6750"/>
      <c r="AQ5" s="6750"/>
      <c r="AR5" s="6750"/>
      <c r="AS5" s="6751"/>
      <c r="AT5" s="6749"/>
      <c r="AU5" s="6750"/>
      <c r="AV5" s="6750"/>
      <c r="AW5" s="6750"/>
      <c r="AX5" s="6750"/>
      <c r="AY5" s="6750"/>
      <c r="AZ5" s="6750"/>
      <c r="BA5" s="6751"/>
      <c r="BB5" s="6749"/>
      <c r="BC5" s="6750"/>
      <c r="BD5" s="6750"/>
      <c r="BE5" s="6750"/>
      <c r="BF5" s="6750"/>
      <c r="BG5" s="6750"/>
      <c r="BH5" s="6750"/>
      <c r="BI5" s="6751"/>
      <c r="BJ5" s="6749"/>
      <c r="BK5" s="6750"/>
      <c r="BL5" s="6750"/>
      <c r="BM5" s="6750"/>
      <c r="BN5" s="6750"/>
      <c r="BO5" s="6750"/>
      <c r="BP5" s="6750"/>
      <c r="BQ5" s="6751"/>
      <c r="BR5" s="6749"/>
      <c r="BS5" s="6750"/>
      <c r="BT5" s="6750"/>
      <c r="BU5" s="6750"/>
      <c r="BV5" s="6750"/>
      <c r="BW5" s="6750"/>
      <c r="BX5" s="6750"/>
      <c r="BY5" s="6751"/>
      <c r="BZ5" s="6751"/>
      <c r="CA5" s="1177" t="s">
        <v>522</v>
      </c>
      <c r="CC5" s="426"/>
      <c r="CD5" s="426" t="str">
        <f t="shared" si="0"/>
        <v xml:space="preserve">Источник тепловой энергии  </v>
      </c>
      <c r="CE5" s="426"/>
      <c r="CF5" s="426"/>
    </row>
    <row r="6" spans="1:84" ht="14.25" hidden="1" customHeight="1">
      <c r="A6" s="1279"/>
      <c r="B6" s="1279"/>
      <c r="C6" s="1279"/>
      <c r="D6" s="1279"/>
      <c r="E6" s="6764"/>
      <c r="F6" s="6764"/>
      <c r="G6" s="6764"/>
      <c r="H6" s="6764"/>
      <c r="I6" s="6761" t="e">
        <f>S5&amp;".1"</f>
        <v>#N/A</v>
      </c>
      <c r="J6" s="1279"/>
      <c r="K6" s="1279"/>
      <c r="L6" s="1280" t="s">
        <v>523</v>
      </c>
      <c r="M6" s="462"/>
      <c r="P6" s="6762">
        <v>1</v>
      </c>
      <c r="Q6" s="1248"/>
      <c r="R6" s="281"/>
      <c r="S6" s="949"/>
      <c r="T6" s="1299"/>
      <c r="U6" s="1300"/>
      <c r="V6" s="6790"/>
      <c r="W6" s="6791"/>
      <c r="X6" s="6791"/>
      <c r="Y6" s="6791"/>
      <c r="Z6" s="6791"/>
      <c r="AA6" s="6791"/>
      <c r="AB6" s="6791"/>
      <c r="AC6" s="6792"/>
      <c r="AD6" s="6790"/>
      <c r="AE6" s="6791"/>
      <c r="AF6" s="6791"/>
      <c r="AG6" s="6791"/>
      <c r="AH6" s="6791"/>
      <c r="AI6" s="6791"/>
      <c r="AJ6" s="6791"/>
      <c r="AK6" s="6791"/>
      <c r="AL6" s="6790"/>
      <c r="AM6" s="6791"/>
      <c r="AN6" s="6791"/>
      <c r="AO6" s="6791"/>
      <c r="AP6" s="6791"/>
      <c r="AQ6" s="6791"/>
      <c r="AR6" s="6791"/>
      <c r="AS6" s="6792"/>
      <c r="AT6" s="6790"/>
      <c r="AU6" s="6791"/>
      <c r="AV6" s="6791"/>
      <c r="AW6" s="6791"/>
      <c r="AX6" s="6791"/>
      <c r="AY6" s="6791"/>
      <c r="AZ6" s="6791"/>
      <c r="BA6" s="6792"/>
      <c r="BB6" s="6790"/>
      <c r="BC6" s="6791"/>
      <c r="BD6" s="6791"/>
      <c r="BE6" s="6791"/>
      <c r="BF6" s="6791"/>
      <c r="BG6" s="6791"/>
      <c r="BH6" s="6791"/>
      <c r="BI6" s="6792"/>
      <c r="BJ6" s="6790"/>
      <c r="BK6" s="6791"/>
      <c r="BL6" s="6791"/>
      <c r="BM6" s="6791"/>
      <c r="BN6" s="6791"/>
      <c r="BO6" s="6791"/>
      <c r="BP6" s="6791"/>
      <c r="BQ6" s="6792"/>
      <c r="BR6" s="6790"/>
      <c r="BS6" s="6791"/>
      <c r="BT6" s="6791"/>
      <c r="BU6" s="6791"/>
      <c r="BV6" s="6791"/>
      <c r="BW6" s="6791"/>
      <c r="BX6" s="6791"/>
      <c r="BY6" s="6792"/>
      <c r="BZ6" s="6792"/>
      <c r="CA6" s="1301"/>
      <c r="CC6" s="426"/>
      <c r="CD6" s="426" t="str">
        <f t="shared" si="0"/>
        <v/>
      </c>
      <c r="CE6" s="426"/>
      <c r="CF6" s="426"/>
    </row>
    <row r="7" spans="1:84" ht="21" hidden="1" customHeight="1">
      <c r="A7" s="1279"/>
      <c r="B7" s="1279"/>
      <c r="C7" s="1279"/>
      <c r="D7" s="1279"/>
      <c r="E7" s="6764"/>
      <c r="F7" s="6764"/>
      <c r="G7" s="6764"/>
      <c r="H7" s="6764"/>
      <c r="I7" s="6784"/>
      <c r="J7" s="6761" t="e">
        <f>I6&amp;".1"</f>
        <v>#N/A</v>
      </c>
      <c r="K7" s="1279"/>
      <c r="L7" s="1280" t="s">
        <v>526</v>
      </c>
      <c r="M7" s="462"/>
      <c r="N7" s="1282"/>
      <c r="P7" s="6762"/>
      <c r="Q7" s="6762">
        <v>1</v>
      </c>
      <c r="R7" s="282"/>
      <c r="S7" s="1253" t="e">
        <f>$J7</f>
        <v>#N/A</v>
      </c>
      <c r="T7" s="205" t="s">
        <v>527</v>
      </c>
      <c r="U7" s="219"/>
      <c r="V7" s="6752"/>
      <c r="W7" s="6753"/>
      <c r="X7" s="6753"/>
      <c r="Y7" s="6753"/>
      <c r="Z7" s="6753"/>
      <c r="AA7" s="6753"/>
      <c r="AB7" s="6753"/>
      <c r="AC7" s="6754"/>
      <c r="AD7" s="6752"/>
      <c r="AE7" s="6753"/>
      <c r="AF7" s="6753"/>
      <c r="AG7" s="6753"/>
      <c r="AH7" s="6753"/>
      <c r="AI7" s="6753"/>
      <c r="AJ7" s="6753"/>
      <c r="AK7" s="6753"/>
      <c r="AL7" s="6752"/>
      <c r="AM7" s="6753"/>
      <c r="AN7" s="6753"/>
      <c r="AO7" s="6753"/>
      <c r="AP7" s="6753"/>
      <c r="AQ7" s="6753"/>
      <c r="AR7" s="6753"/>
      <c r="AS7" s="6754"/>
      <c r="AT7" s="6752"/>
      <c r="AU7" s="6753"/>
      <c r="AV7" s="6753"/>
      <c r="AW7" s="6753"/>
      <c r="AX7" s="6753"/>
      <c r="AY7" s="6753"/>
      <c r="AZ7" s="6753"/>
      <c r="BA7" s="6754"/>
      <c r="BB7" s="6752"/>
      <c r="BC7" s="6753"/>
      <c r="BD7" s="6753"/>
      <c r="BE7" s="6753"/>
      <c r="BF7" s="6753"/>
      <c r="BG7" s="6753"/>
      <c r="BH7" s="6753"/>
      <c r="BI7" s="6754"/>
      <c r="BJ7" s="6752"/>
      <c r="BK7" s="6753"/>
      <c r="BL7" s="6753"/>
      <c r="BM7" s="6753"/>
      <c r="BN7" s="6753"/>
      <c r="BO7" s="6753"/>
      <c r="BP7" s="6753"/>
      <c r="BQ7" s="6754"/>
      <c r="BR7" s="6752"/>
      <c r="BS7" s="6753"/>
      <c r="BT7" s="6753"/>
      <c r="BU7" s="6753"/>
      <c r="BV7" s="6753"/>
      <c r="BW7" s="6753"/>
      <c r="BX7" s="6753"/>
      <c r="BY7" s="6754"/>
      <c r="BZ7" s="6754"/>
      <c r="CA7" s="1177" t="s">
        <v>528</v>
      </c>
      <c r="CC7" s="426"/>
      <c r="CD7" s="426" t="str">
        <f t="shared" si="0"/>
        <v>Группа потребителей</v>
      </c>
      <c r="CE7" s="426"/>
      <c r="CF7" s="426"/>
    </row>
    <row r="8" spans="1:8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53" t="e">
        <f>$K8</f>
        <v>#N/A</v>
      </c>
      <c r="T8" s="1264"/>
      <c r="U8" s="219"/>
      <c r="V8" s="668"/>
      <c r="W8" s="251"/>
      <c r="X8" s="668"/>
      <c r="Y8" s="1176"/>
      <c r="Z8" s="6766"/>
      <c r="AA8" s="6610" t="s">
        <v>61</v>
      </c>
      <c r="AB8" s="6766"/>
      <c r="AC8" s="6610" t="s">
        <v>61</v>
      </c>
      <c r="AD8" s="668"/>
      <c r="AE8" s="251"/>
      <c r="AF8" s="668"/>
      <c r="AG8" s="1176"/>
      <c r="AH8" s="6766"/>
      <c r="AI8" s="6610" t="s">
        <v>61</v>
      </c>
      <c r="AJ8" s="6766"/>
      <c r="AK8" s="6610" t="s">
        <v>61</v>
      </c>
      <c r="AL8" s="2078"/>
      <c r="AM8" s="2079"/>
      <c r="AN8" s="2078"/>
      <c r="AO8" s="2080"/>
      <c r="AP8" s="6766"/>
      <c r="AQ8" s="6610" t="s">
        <v>61</v>
      </c>
      <c r="AR8" s="6766"/>
      <c r="AS8" s="6610" t="s">
        <v>61</v>
      </c>
      <c r="AT8" s="2078"/>
      <c r="AU8" s="2079"/>
      <c r="AV8" s="2078"/>
      <c r="AW8" s="2080"/>
      <c r="AX8" s="6766"/>
      <c r="AY8" s="6610" t="s">
        <v>61</v>
      </c>
      <c r="AZ8" s="6766"/>
      <c r="BA8" s="6610" t="s">
        <v>61</v>
      </c>
      <c r="BB8" s="2078"/>
      <c r="BC8" s="2079"/>
      <c r="BD8" s="2078"/>
      <c r="BE8" s="2080"/>
      <c r="BF8" s="6766"/>
      <c r="BG8" s="6610" t="s">
        <v>61</v>
      </c>
      <c r="BH8" s="6766"/>
      <c r="BI8" s="6610" t="s">
        <v>61</v>
      </c>
      <c r="BJ8" s="2078"/>
      <c r="BK8" s="2079"/>
      <c r="BL8" s="2078"/>
      <c r="BM8" s="2080"/>
      <c r="BN8" s="6766"/>
      <c r="BO8" s="6610" t="s">
        <v>61</v>
      </c>
      <c r="BP8" s="6766"/>
      <c r="BQ8" s="6610" t="s">
        <v>61</v>
      </c>
      <c r="BR8" s="2078"/>
      <c r="BS8" s="2079"/>
      <c r="BT8" s="2078"/>
      <c r="BU8" s="2080"/>
      <c r="BV8" s="6766"/>
      <c r="BW8" s="6610" t="s">
        <v>61</v>
      </c>
      <c r="BX8" s="6766"/>
      <c r="BY8" s="6610" t="s">
        <v>61</v>
      </c>
      <c r="BZ8" s="251"/>
      <c r="CA8" s="6758" t="s">
        <v>530</v>
      </c>
      <c r="CB8" s="437" t="e">
        <f ca="1">STRCHECKDATE(V9:BZ9)</f>
        <v>#NAME?</v>
      </c>
      <c r="CC8" s="426"/>
      <c r="CD8" s="426" t="str">
        <f t="shared" si="0"/>
        <v/>
      </c>
      <c r="CE8" s="426"/>
      <c r="CF8" s="426"/>
    </row>
    <row r="9" spans="1:84" ht="0.75" hidden="1" customHeight="1">
      <c r="A9" s="1279"/>
      <c r="B9" s="1279"/>
      <c r="C9" s="1279"/>
      <c r="D9" s="1279"/>
      <c r="E9" s="6764"/>
      <c r="F9" s="6764"/>
      <c r="G9" s="6764"/>
      <c r="H9" s="6764"/>
      <c r="I9" s="6784"/>
      <c r="J9" s="6784"/>
      <c r="K9" s="6761"/>
      <c r="L9" s="1280"/>
      <c r="M9" s="462"/>
      <c r="N9" s="1282"/>
      <c r="O9" s="1282"/>
      <c r="P9" s="6762"/>
      <c r="Q9" s="6762"/>
      <c r="R9" s="282"/>
      <c r="S9" s="1259"/>
      <c r="T9" s="219"/>
      <c r="U9" s="219"/>
      <c r="V9" s="251"/>
      <c r="W9" s="251"/>
      <c r="X9" s="251"/>
      <c r="Y9" s="255" t="str">
        <f>Z8&amp;"-"&amp;AB8</f>
        <v>-</v>
      </c>
      <c r="Z9" s="6767"/>
      <c r="AA9" s="6610"/>
      <c r="AB9" s="6767"/>
      <c r="AC9" s="6610"/>
      <c r="AD9" s="251"/>
      <c r="AE9" s="251"/>
      <c r="AF9" s="251"/>
      <c r="AG9" s="255" t="str">
        <f>AH8&amp;"-"&amp;AJ8</f>
        <v>-</v>
      </c>
      <c r="AH9" s="6767"/>
      <c r="AI9" s="6610"/>
      <c r="AJ9" s="6767"/>
      <c r="AK9" s="6610"/>
      <c r="AL9" s="2079"/>
      <c r="AM9" s="2079"/>
      <c r="AN9" s="2079"/>
      <c r="AO9" s="2082" t="str">
        <f>AP8&amp;"-"&amp;AR8</f>
        <v>-</v>
      </c>
      <c r="AP9" s="6767"/>
      <c r="AQ9" s="6610"/>
      <c r="AR9" s="6767"/>
      <c r="AS9" s="6610"/>
      <c r="AT9" s="2079"/>
      <c r="AU9" s="2079"/>
      <c r="AV9" s="2079"/>
      <c r="AW9" s="2082" t="str">
        <f>AX8&amp;"-"&amp;AZ8</f>
        <v>-</v>
      </c>
      <c r="AX9" s="6767"/>
      <c r="AY9" s="6610"/>
      <c r="AZ9" s="6767"/>
      <c r="BA9" s="6610"/>
      <c r="BB9" s="2079"/>
      <c r="BC9" s="2079"/>
      <c r="BD9" s="2079"/>
      <c r="BE9" s="2082" t="str">
        <f>BF8&amp;"-"&amp;BH8</f>
        <v>-</v>
      </c>
      <c r="BF9" s="6767"/>
      <c r="BG9" s="6610"/>
      <c r="BH9" s="6767"/>
      <c r="BI9" s="6610"/>
      <c r="BJ9" s="2079"/>
      <c r="BK9" s="2079"/>
      <c r="BL9" s="2079"/>
      <c r="BM9" s="2082" t="str">
        <f>BN8&amp;"-"&amp;BP8</f>
        <v>-</v>
      </c>
      <c r="BN9" s="6767"/>
      <c r="BO9" s="6610"/>
      <c r="BP9" s="6767"/>
      <c r="BQ9" s="6610"/>
      <c r="BR9" s="2079"/>
      <c r="BS9" s="2079"/>
      <c r="BT9" s="2079"/>
      <c r="BU9" s="2082" t="str">
        <f>BV8&amp;"-"&amp;BX8</f>
        <v>-</v>
      </c>
      <c r="BV9" s="6767"/>
      <c r="BW9" s="6610"/>
      <c r="BX9" s="6767"/>
      <c r="BY9" s="6610"/>
      <c r="BZ9" s="251"/>
      <c r="CA9" s="6759"/>
      <c r="CC9" s="426"/>
      <c r="CD9" s="426" t="str">
        <f t="shared" si="0"/>
        <v/>
      </c>
      <c r="CE9" s="426"/>
      <c r="CF9" s="426"/>
    </row>
    <row r="10" spans="1:84" ht="15" hidden="1" customHeight="1">
      <c r="A10" s="1279"/>
      <c r="B10" s="1279"/>
      <c r="C10" s="1279"/>
      <c r="D10" s="1279"/>
      <c r="E10" s="6764"/>
      <c r="F10" s="6764"/>
      <c r="G10" s="6764"/>
      <c r="H10" s="6764"/>
      <c r="I10" s="6784"/>
      <c r="J10" s="6761"/>
      <c r="K10" s="1279"/>
      <c r="L10" s="1280"/>
      <c r="M10" s="462"/>
      <c r="N10" s="1282"/>
      <c r="P10" s="6762"/>
      <c r="Q10" s="6762"/>
      <c r="R10" s="281"/>
      <c r="S10" s="1198"/>
      <c r="T10" s="206" t="s">
        <v>531</v>
      </c>
      <c r="U10" s="295"/>
      <c r="V10" s="295"/>
      <c r="W10" s="295"/>
      <c r="X10" s="295"/>
      <c r="Y10" s="295"/>
      <c r="Z10" s="295"/>
      <c r="AA10" s="295"/>
      <c r="AB10" s="295"/>
      <c r="AC10" s="295"/>
      <c r="AD10" s="295"/>
      <c r="AE10" s="295"/>
      <c r="AF10" s="295"/>
      <c r="AG10" s="295"/>
      <c r="AH10" s="295"/>
      <c r="AI10" s="295"/>
      <c r="AJ10" s="295"/>
      <c r="AK10" s="295"/>
      <c r="AL10" s="5088"/>
      <c r="AM10" s="5089"/>
      <c r="AN10" s="5090"/>
      <c r="AO10" s="5091"/>
      <c r="AP10" s="5092"/>
      <c r="AQ10" s="5093"/>
      <c r="AR10" s="5094"/>
      <c r="AS10" s="5095"/>
      <c r="AT10" s="5096"/>
      <c r="AU10" s="5097"/>
      <c r="AV10" s="5098"/>
      <c r="AW10" s="5099"/>
      <c r="AX10" s="5100"/>
      <c r="AY10" s="5101"/>
      <c r="AZ10" s="5102"/>
      <c r="BA10" s="5103"/>
      <c r="BB10" s="5104"/>
      <c r="BC10" s="5105"/>
      <c r="BD10" s="5106"/>
      <c r="BE10" s="5107"/>
      <c r="BF10" s="5108"/>
      <c r="BG10" s="5109"/>
      <c r="BH10" s="5110"/>
      <c r="BI10" s="5111"/>
      <c r="BJ10" s="5112"/>
      <c r="BK10" s="5113"/>
      <c r="BL10" s="5114"/>
      <c r="BM10" s="5115"/>
      <c r="BN10" s="5116"/>
      <c r="BO10" s="5117"/>
      <c r="BP10" s="5118"/>
      <c r="BQ10" s="5119"/>
      <c r="BR10" s="5120"/>
      <c r="BS10" s="5121"/>
      <c r="BT10" s="5122"/>
      <c r="BU10" s="5123"/>
      <c r="BV10" s="5124"/>
      <c r="BW10" s="5125"/>
      <c r="BX10" s="5126"/>
      <c r="BY10" s="5127"/>
      <c r="BZ10" s="250"/>
      <c r="CA10" s="6760"/>
      <c r="CC10" s="426"/>
      <c r="CD10" s="426" t="str">
        <f t="shared" si="0"/>
        <v>Добавить вид теплоносителя (параметры теплоносителя)</v>
      </c>
      <c r="CE10" s="426"/>
      <c r="CF10" s="426"/>
    </row>
    <row r="11" spans="1:84" ht="15" hidden="1" customHeight="1">
      <c r="A11" s="1279"/>
      <c r="B11" s="1279"/>
      <c r="C11" s="1279"/>
      <c r="D11" s="1279"/>
      <c r="E11" s="6764"/>
      <c r="F11" s="6764"/>
      <c r="G11" s="6764"/>
      <c r="H11" s="6764"/>
      <c r="I11" s="6761"/>
      <c r="J11" s="1279"/>
      <c r="K11" s="1279"/>
      <c r="L11" s="1280"/>
      <c r="M11" s="462"/>
      <c r="P11" s="6762"/>
      <c r="Q11" s="1248"/>
      <c r="R11" s="281"/>
      <c r="S11" s="1198"/>
      <c r="T11" s="292" t="s">
        <v>532</v>
      </c>
      <c r="U11" s="295"/>
      <c r="V11" s="295"/>
      <c r="W11" s="295"/>
      <c r="X11" s="295"/>
      <c r="Y11" s="295"/>
      <c r="Z11" s="295"/>
      <c r="AA11" s="295"/>
      <c r="AB11" s="295"/>
      <c r="AC11" s="294"/>
      <c r="AD11" s="295"/>
      <c r="AE11" s="295"/>
      <c r="AF11" s="295"/>
      <c r="AG11" s="295"/>
      <c r="AH11" s="295"/>
      <c r="AI11" s="295"/>
      <c r="AJ11" s="295"/>
      <c r="AK11" s="294"/>
      <c r="AL11" s="5128"/>
      <c r="AM11" s="5129"/>
      <c r="AN11" s="5130"/>
      <c r="AO11" s="5131"/>
      <c r="AP11" s="5132"/>
      <c r="AQ11" s="5133"/>
      <c r="AR11" s="5134"/>
      <c r="AS11" s="5135"/>
      <c r="AT11" s="5136"/>
      <c r="AU11" s="5137"/>
      <c r="AV11" s="5138"/>
      <c r="AW11" s="5139"/>
      <c r="AX11" s="5140"/>
      <c r="AY11" s="5141"/>
      <c r="AZ11" s="5142"/>
      <c r="BA11" s="5143"/>
      <c r="BB11" s="5144"/>
      <c r="BC11" s="5145"/>
      <c r="BD11" s="5146"/>
      <c r="BE11" s="5147"/>
      <c r="BF11" s="5148"/>
      <c r="BG11" s="5149"/>
      <c r="BH11" s="5150"/>
      <c r="BI11" s="5151"/>
      <c r="BJ11" s="5152"/>
      <c r="BK11" s="5153"/>
      <c r="BL11" s="5154"/>
      <c r="BM11" s="5155"/>
      <c r="BN11" s="5156"/>
      <c r="BO11" s="5157"/>
      <c r="BP11" s="5158"/>
      <c r="BQ11" s="5159"/>
      <c r="BR11" s="5160"/>
      <c r="BS11" s="5161"/>
      <c r="BT11" s="5162"/>
      <c r="BU11" s="5163"/>
      <c r="BV11" s="5164"/>
      <c r="BW11" s="5165"/>
      <c r="BX11" s="5166"/>
      <c r="BY11" s="5167"/>
      <c r="BZ11" s="295"/>
      <c r="CA11" s="222"/>
      <c r="CC11" s="426"/>
      <c r="CD11" s="426" t="str">
        <f t="shared" si="0"/>
        <v>Добавить группу потребителей</v>
      </c>
      <c r="CE11" s="426"/>
      <c r="CF11" s="426"/>
    </row>
    <row r="12" spans="1:84" ht="14.25" hidden="1" customHeight="1">
      <c r="A12" s="1279"/>
      <c r="B12" s="1279"/>
      <c r="C12" s="1279"/>
      <c r="D12" s="1279"/>
      <c r="E12" s="6764"/>
      <c r="F12" s="6764"/>
      <c r="G12" s="6764"/>
      <c r="H12" s="676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5168"/>
      <c r="AM12" s="5168"/>
      <c r="AN12" s="5168"/>
      <c r="AO12" s="5168"/>
      <c r="AP12" s="5168"/>
      <c r="AQ12" s="5168"/>
      <c r="AR12" s="5168"/>
      <c r="AS12" s="5168"/>
      <c r="AT12" s="5168"/>
      <c r="AU12" s="5168"/>
      <c r="AV12" s="5168"/>
      <c r="AW12" s="5168"/>
      <c r="AX12" s="5168"/>
      <c r="AY12" s="5168"/>
      <c r="AZ12" s="5168"/>
      <c r="BA12" s="5168"/>
      <c r="BB12" s="5168"/>
      <c r="BC12" s="5168"/>
      <c r="BD12" s="5168"/>
      <c r="BE12" s="5168"/>
      <c r="BF12" s="5168"/>
      <c r="BG12" s="5168"/>
      <c r="BH12" s="5168"/>
      <c r="BI12" s="5168"/>
      <c r="BJ12" s="5168"/>
      <c r="BK12" s="5168"/>
      <c r="BL12" s="5168"/>
      <c r="BM12" s="5168"/>
      <c r="BN12" s="5168"/>
      <c r="BO12" s="5168"/>
      <c r="BP12" s="5168"/>
      <c r="BQ12" s="5168"/>
      <c r="BR12" s="5168"/>
      <c r="BS12" s="5168"/>
      <c r="BT12" s="5168"/>
      <c r="BU12" s="5168"/>
      <c r="BV12" s="5168"/>
      <c r="BW12" s="5168"/>
      <c r="BX12" s="5168"/>
      <c r="BY12" s="5168"/>
      <c r="BZ12" s="1304"/>
      <c r="CA12" s="1305"/>
      <c r="CC12" s="426"/>
      <c r="CD12" s="426" t="str">
        <f t="shared" si="0"/>
        <v/>
      </c>
      <c r="CE12" s="426"/>
      <c r="CF12" s="426"/>
    </row>
    <row r="13" spans="1:84" s="2067" customFormat="1" ht="0.7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1238"/>
      <c r="CA13" s="1238"/>
      <c r="CC13" s="706"/>
      <c r="CD13" s="706" t="str">
        <f t="shared" si="0"/>
        <v>Добавить источник для дифференциации</v>
      </c>
      <c r="CE13" s="706"/>
      <c r="CF13" s="706"/>
    </row>
    <row r="14" spans="1:84" s="2067" customFormat="1" ht="0.7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2204"/>
      <c r="AM14" s="2204"/>
      <c r="AN14" s="2204"/>
      <c r="AO14" s="2204"/>
      <c r="AP14" s="2204"/>
      <c r="AQ14" s="2204"/>
      <c r="AR14" s="2204"/>
      <c r="AS14" s="2204"/>
      <c r="AT14" s="2204"/>
      <c r="AU14" s="2204"/>
      <c r="AV14" s="2204"/>
      <c r="AW14" s="2204"/>
      <c r="AX14" s="2204"/>
      <c r="AY14" s="2204"/>
      <c r="AZ14" s="2204"/>
      <c r="BA14" s="2204"/>
      <c r="BB14" s="2204"/>
      <c r="BC14" s="2204"/>
      <c r="BD14" s="2204"/>
      <c r="BE14" s="2204"/>
      <c r="BF14" s="2204"/>
      <c r="BG14" s="2204"/>
      <c r="BH14" s="2204"/>
      <c r="BI14" s="2204"/>
      <c r="BJ14" s="2204"/>
      <c r="BK14" s="2204"/>
      <c r="BL14" s="2204"/>
      <c r="BM14" s="2204"/>
      <c r="BN14" s="2204"/>
      <c r="BO14" s="2204"/>
      <c r="BP14" s="2204"/>
      <c r="BQ14" s="2204"/>
      <c r="BR14" s="2204"/>
      <c r="BS14" s="2204"/>
      <c r="BT14" s="2204"/>
      <c r="BU14" s="2204"/>
      <c r="BV14" s="2204"/>
      <c r="BW14" s="2204"/>
      <c r="BX14" s="2204"/>
      <c r="BY14" s="2204"/>
      <c r="BZ14" s="1242"/>
      <c r="CA14" s="1242"/>
      <c r="CC14" s="706"/>
      <c r="CD14" s="706" t="str">
        <f t="shared" si="0"/>
        <v>Добавить централизованную систему для дифференциации</v>
      </c>
      <c r="CE14" s="706"/>
      <c r="CF14" s="706"/>
    </row>
    <row r="15" spans="1:84" s="2067" customFormat="1" ht="0.7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04"/>
      <c r="BL15" s="2204"/>
      <c r="BM15" s="2204"/>
      <c r="BN15" s="2204"/>
      <c r="BO15" s="2204"/>
      <c r="BP15" s="2204"/>
      <c r="BQ15" s="2204"/>
      <c r="BR15" s="2204"/>
      <c r="BS15" s="2204"/>
      <c r="BT15" s="2204"/>
      <c r="BU15" s="2204"/>
      <c r="BV15" s="2204"/>
      <c r="BW15" s="2204"/>
      <c r="BX15" s="2204"/>
      <c r="BY15" s="2204"/>
      <c r="BZ15" s="1242"/>
      <c r="CA15" s="1242"/>
      <c r="CC15" s="706"/>
      <c r="CD15" s="706" t="str">
        <f t="shared" si="0"/>
        <v>Добавить территорию для дифференциации</v>
      </c>
      <c r="CE15" s="706"/>
      <c r="CF15" s="706"/>
    </row>
    <row r="16" spans="1:84" ht="14.25" hidden="1" customHeight="1">
      <c r="AC16" s="254"/>
      <c r="AK16" s="254"/>
      <c r="AL16" s="2077"/>
      <c r="AM16" s="2077"/>
      <c r="AN16" s="2077"/>
      <c r="AO16" s="2077"/>
      <c r="AP16" s="2077"/>
      <c r="AQ16" s="2077"/>
      <c r="AR16" s="2077"/>
      <c r="AS16" s="2077"/>
      <c r="AT16" s="2077"/>
      <c r="AU16" s="2077"/>
      <c r="AV16" s="2077"/>
      <c r="AW16" s="2077"/>
      <c r="AX16" s="2077"/>
      <c r="AY16" s="2077"/>
      <c r="AZ16" s="2077"/>
      <c r="BA16" s="2077"/>
      <c r="BB16" s="2077"/>
      <c r="BC16" s="2077"/>
      <c r="BD16" s="2077"/>
      <c r="BE16" s="2077"/>
      <c r="BF16" s="2077"/>
      <c r="BG16" s="2077"/>
      <c r="BH16" s="2077"/>
      <c r="BI16" s="2077"/>
      <c r="BJ16" s="2077"/>
      <c r="BK16" s="2077"/>
      <c r="BL16" s="2077"/>
      <c r="BM16" s="2077"/>
      <c r="BN16" s="2077"/>
      <c r="BO16" s="2077"/>
      <c r="BP16" s="2077"/>
      <c r="BQ16" s="2077"/>
      <c r="BR16" s="2077"/>
      <c r="BS16" s="2077"/>
      <c r="BT16" s="2077"/>
      <c r="BU16" s="2077"/>
      <c r="BV16" s="2077"/>
      <c r="BW16" s="2077"/>
      <c r="BX16" s="2077"/>
      <c r="BY16" s="2077"/>
    </row>
    <row r="17" spans="1:84" ht="14.25" hidden="1" customHeight="1">
      <c r="AD17" s="1276"/>
      <c r="AE17" s="1276"/>
      <c r="AF17" s="1276"/>
      <c r="AG17" s="1277"/>
      <c r="AH17" s="6768"/>
      <c r="AI17" s="6769" t="s">
        <v>61</v>
      </c>
      <c r="AJ17" s="6768"/>
      <c r="AK17" s="6769" t="s">
        <v>61</v>
      </c>
      <c r="AL17" s="2077"/>
      <c r="AM17" s="2077"/>
      <c r="AN17" s="2077"/>
      <c r="AO17" s="2077"/>
      <c r="AP17" s="2077"/>
      <c r="AQ17" s="2077"/>
      <c r="AR17" s="2077"/>
      <c r="AS17" s="2077"/>
      <c r="AT17" s="2077"/>
      <c r="AU17" s="2077"/>
      <c r="AV17" s="2077"/>
      <c r="AW17" s="2077"/>
      <c r="AX17" s="2077"/>
      <c r="AY17" s="2077"/>
      <c r="AZ17" s="2077"/>
      <c r="BA17" s="2077"/>
      <c r="BB17" s="2077"/>
      <c r="BC17" s="2077"/>
      <c r="BD17" s="2077"/>
      <c r="BE17" s="2077"/>
      <c r="BF17" s="2077"/>
      <c r="BG17" s="2077"/>
      <c r="BH17" s="2077"/>
      <c r="BI17" s="2077"/>
      <c r="BJ17" s="2077"/>
      <c r="BK17" s="2077"/>
      <c r="BL17" s="2077"/>
      <c r="BM17" s="2077"/>
      <c r="BN17" s="2077"/>
      <c r="BO17" s="2077"/>
      <c r="BP17" s="2077"/>
      <c r="BQ17" s="2077"/>
      <c r="BR17" s="2077"/>
      <c r="BS17" s="2077"/>
      <c r="BT17" s="2077"/>
      <c r="BU17" s="2077"/>
      <c r="BV17" s="2077"/>
      <c r="BW17" s="2077"/>
      <c r="BX17" s="2077"/>
      <c r="BY17" s="2077"/>
    </row>
    <row r="18" spans="1:84" ht="14.25" hidden="1" customHeight="1">
      <c r="AD18" s="1276"/>
      <c r="AE18" s="1276"/>
      <c r="AF18" s="1276"/>
      <c r="AG18" s="255" t="str">
        <f>AH17&amp;"-"&amp;AJ17</f>
        <v>-</v>
      </c>
      <c r="AH18" s="6769"/>
      <c r="AI18" s="6769"/>
      <c r="AJ18" s="6769"/>
      <c r="AK18" s="6769"/>
      <c r="AL18" s="2077"/>
      <c r="AM18" s="2077"/>
      <c r="AN18" s="2077"/>
      <c r="AO18" s="2077"/>
      <c r="AP18" s="2077"/>
      <c r="AQ18" s="2077"/>
      <c r="AR18" s="2077"/>
      <c r="AS18" s="2077"/>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row>
    <row r="19" spans="1:84" ht="14.25" hidden="1" customHeight="1">
      <c r="AK19" s="254"/>
      <c r="AL19" s="2077"/>
      <c r="AM19" s="2077"/>
      <c r="AN19" s="2077"/>
      <c r="AO19" s="2077"/>
      <c r="AP19" s="2077"/>
      <c r="AQ19" s="2077"/>
      <c r="AR19" s="2077"/>
      <c r="AS19" s="207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7"/>
    </row>
    <row r="20" spans="1:84" s="1830" customFormat="1" ht="22.5" hidden="1" customHeight="1">
      <c r="L20" s="1246"/>
      <c r="M20" s="1278"/>
      <c r="N20" s="1278"/>
      <c r="O20" s="1283" t="s">
        <v>534</v>
      </c>
      <c r="P20" s="1278"/>
      <c r="Q20" s="1287"/>
      <c r="R20" s="1287"/>
      <c r="S20" s="648"/>
      <c r="Z20" s="1283"/>
      <c r="AB20" s="1283"/>
      <c r="AC20" s="1282"/>
      <c r="AH20" s="1283"/>
      <c r="AJ20" s="1283"/>
      <c r="AK20" s="1282"/>
      <c r="AL20" s="2205"/>
      <c r="AM20" s="2205"/>
      <c r="AN20" s="2205"/>
      <c r="AO20" s="2205"/>
      <c r="AP20" s="2206"/>
      <c r="AQ20" s="2205"/>
      <c r="AR20" s="2206"/>
      <c r="AS20" s="2205"/>
      <c r="AT20" s="2205"/>
      <c r="AU20" s="2205"/>
      <c r="AV20" s="2205"/>
      <c r="AW20" s="2205"/>
      <c r="AX20" s="2206"/>
      <c r="AY20" s="2205"/>
      <c r="AZ20" s="2206"/>
      <c r="BA20" s="2205"/>
      <c r="BB20" s="2205"/>
      <c r="BC20" s="2205"/>
      <c r="BD20" s="2205"/>
      <c r="BE20" s="2205"/>
      <c r="BF20" s="2206"/>
      <c r="BG20" s="2205"/>
      <c r="BH20" s="2206"/>
      <c r="BI20" s="2205"/>
      <c r="BJ20" s="2205"/>
      <c r="BK20" s="2205"/>
      <c r="BL20" s="2205"/>
      <c r="BM20" s="2205"/>
      <c r="BN20" s="2206"/>
      <c r="BO20" s="2205"/>
      <c r="BP20" s="2206"/>
      <c r="BQ20" s="2205"/>
      <c r="BR20" s="2205"/>
      <c r="BS20" s="2205"/>
      <c r="BT20" s="2205"/>
      <c r="BU20" s="2205"/>
      <c r="BV20" s="2206"/>
      <c r="BW20" s="2205"/>
      <c r="BX20" s="2206"/>
      <c r="BY20" s="2205"/>
      <c r="CB20" s="437"/>
      <c r="CC20" s="437"/>
      <c r="CD20" s="437"/>
      <c r="CE20" s="437"/>
      <c r="CF20" s="437"/>
    </row>
    <row r="21" spans="1:84" s="1830" customFormat="1" ht="14.25" hidden="1" customHeight="1">
      <c r="L21" s="1246"/>
      <c r="M21" s="1278"/>
      <c r="N21" s="1278"/>
      <c r="O21" s="1278"/>
      <c r="P21" s="1278"/>
      <c r="Q21" s="1287"/>
      <c r="R21" s="1287"/>
      <c r="S21" s="648"/>
      <c r="AC21" s="1282"/>
      <c r="AK21" s="1282"/>
      <c r="AL21" s="2205"/>
      <c r="AM21" s="2205"/>
      <c r="AN21" s="2205"/>
      <c r="AO21" s="2205"/>
      <c r="AP21" s="2205"/>
      <c r="AQ21" s="2205"/>
      <c r="AR21" s="2205"/>
      <c r="AS21" s="2205"/>
      <c r="AT21" s="2205"/>
      <c r="AU21" s="2205"/>
      <c r="AV21" s="2205"/>
      <c r="AW21" s="2205"/>
      <c r="AX21" s="2205"/>
      <c r="AY21" s="2205"/>
      <c r="AZ21" s="2205"/>
      <c r="BA21" s="2205"/>
      <c r="BB21" s="2205"/>
      <c r="BC21" s="2205"/>
      <c r="BD21" s="2205"/>
      <c r="BE21" s="2205"/>
      <c r="BF21" s="2205"/>
      <c r="BG21" s="2205"/>
      <c r="BH21" s="2205"/>
      <c r="BI21" s="2205"/>
      <c r="BJ21" s="2205"/>
      <c r="BK21" s="2205"/>
      <c r="BL21" s="2205"/>
      <c r="BM21" s="2205"/>
      <c r="BN21" s="2205"/>
      <c r="BO21" s="2205"/>
      <c r="BP21" s="2205"/>
      <c r="BQ21" s="2205"/>
      <c r="BR21" s="2205"/>
      <c r="BS21" s="2205"/>
      <c r="BT21" s="2205"/>
      <c r="BU21" s="2205"/>
      <c r="BV21" s="2205"/>
      <c r="BW21" s="2205"/>
      <c r="BX21" s="2205"/>
      <c r="BY21" s="2205"/>
      <c r="CB21" s="437"/>
      <c r="CC21" s="437"/>
      <c r="CD21" s="437"/>
      <c r="CE21" s="437"/>
      <c r="CF21" s="437"/>
    </row>
    <row r="22" spans="1:84" s="1830" customFormat="1" ht="14.2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L22" s="2205"/>
      <c r="AM22" s="2205"/>
      <c r="AN22" s="2205"/>
      <c r="AO22" s="2205"/>
      <c r="AP22" s="2205"/>
      <c r="AQ22" s="2207" t="s">
        <v>537</v>
      </c>
      <c r="AR22" s="2205"/>
      <c r="AS22" s="2207" t="s">
        <v>538</v>
      </c>
      <c r="AT22" s="2205"/>
      <c r="AU22" s="2205"/>
      <c r="AV22" s="2205"/>
      <c r="AW22" s="2205"/>
      <c r="AX22" s="2205"/>
      <c r="AY22" s="2207" t="s">
        <v>537</v>
      </c>
      <c r="AZ22" s="2205"/>
      <c r="BA22" s="2207" t="s">
        <v>538</v>
      </c>
      <c r="BB22" s="2205"/>
      <c r="BC22" s="2205"/>
      <c r="BD22" s="2205"/>
      <c r="BE22" s="2205"/>
      <c r="BF22" s="2205"/>
      <c r="BG22" s="2207" t="s">
        <v>537</v>
      </c>
      <c r="BH22" s="2205"/>
      <c r="BI22" s="2207" t="s">
        <v>538</v>
      </c>
      <c r="BJ22" s="2205"/>
      <c r="BK22" s="2205"/>
      <c r="BL22" s="2205"/>
      <c r="BM22" s="2205"/>
      <c r="BN22" s="2205"/>
      <c r="BO22" s="2207" t="s">
        <v>537</v>
      </c>
      <c r="BP22" s="2205"/>
      <c r="BQ22" s="2207" t="s">
        <v>538</v>
      </c>
      <c r="BR22" s="2205"/>
      <c r="BS22" s="2205"/>
      <c r="BT22" s="2205"/>
      <c r="BU22" s="2205"/>
      <c r="BV22" s="2205"/>
      <c r="BW22" s="2207" t="s">
        <v>537</v>
      </c>
      <c r="BX22" s="2205"/>
      <c r="BY22" s="2207" t="s">
        <v>538</v>
      </c>
      <c r="CB22" s="437"/>
      <c r="CC22" s="437"/>
      <c r="CD22" s="437"/>
      <c r="CE22" s="437"/>
      <c r="CF22" s="437"/>
    </row>
    <row r="23" spans="1:84" ht="14.25" hidden="1" customHeight="1">
      <c r="O23" s="1280"/>
      <c r="AL23" s="2077"/>
      <c r="AM23" s="2077"/>
      <c r="AN23" s="2077"/>
      <c r="AO23" s="2077"/>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row>
    <row r="24" spans="1:84" ht="14.25" hidden="1" customHeight="1">
      <c r="O24" s="1280"/>
      <c r="AL24" s="2077"/>
      <c r="AM24" s="2077"/>
      <c r="AN24" s="2077"/>
      <c r="AO24" s="2077"/>
      <c r="AP24" s="2077"/>
      <c r="AQ24" s="2077"/>
      <c r="AR24" s="2077"/>
      <c r="AS24" s="2077"/>
      <c r="AT24" s="2077"/>
      <c r="AU24" s="2077"/>
      <c r="AV24" s="2077"/>
      <c r="AW24" s="2077"/>
      <c r="AX24" s="2077"/>
      <c r="AY24" s="2077"/>
      <c r="AZ24" s="2077"/>
      <c r="BA24" s="2077"/>
      <c r="BB24" s="2077"/>
      <c r="BC24" s="2077"/>
      <c r="BD24" s="2077"/>
      <c r="BE24" s="2077"/>
      <c r="BF24" s="2077"/>
      <c r="BG24" s="2077"/>
      <c r="BH24" s="2077"/>
      <c r="BI24" s="2077"/>
      <c r="BJ24" s="2077"/>
      <c r="BK24" s="2077"/>
      <c r="BL24" s="2077"/>
      <c r="BM24" s="2077"/>
      <c r="BN24" s="2077"/>
      <c r="BO24" s="2077"/>
      <c r="BP24" s="2077"/>
      <c r="BQ24" s="2077"/>
      <c r="BR24" s="2077"/>
      <c r="BS24" s="2077"/>
      <c r="BT24" s="2077"/>
      <c r="BU24" s="2077"/>
      <c r="BV24" s="2077"/>
      <c r="BW24" s="2077"/>
      <c r="BX24" s="2077"/>
      <c r="BY24" s="2077"/>
    </row>
    <row r="25" spans="1:8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2077"/>
      <c r="AM25" s="2077"/>
      <c r="AN25" s="2077"/>
      <c r="AO25" s="2077"/>
      <c r="AP25" s="2077"/>
      <c r="AQ25" s="2077"/>
      <c r="AR25" s="2077"/>
      <c r="AS25" s="2077"/>
      <c r="AT25" s="2077"/>
      <c r="AU25" s="2077"/>
      <c r="AV25" s="2077"/>
      <c r="AW25" s="2077"/>
      <c r="AX25" s="2077"/>
      <c r="AY25" s="2077"/>
      <c r="AZ25" s="2077"/>
      <c r="BA25" s="2077"/>
      <c r="BB25" s="2077"/>
      <c r="BC25" s="2077"/>
      <c r="BD25" s="2077"/>
      <c r="BE25" s="2077"/>
      <c r="BF25" s="2077"/>
      <c r="BG25" s="2077"/>
      <c r="BH25" s="2077"/>
      <c r="BI25" s="2077"/>
      <c r="BJ25" s="2077"/>
      <c r="BK25" s="2077"/>
      <c r="BL25" s="2077"/>
      <c r="BM25" s="2077"/>
      <c r="BN25" s="2077"/>
      <c r="BO25" s="2077"/>
      <c r="BP25" s="2077"/>
      <c r="BQ25" s="2077"/>
      <c r="BR25" s="2077"/>
      <c r="BS25" s="2077"/>
      <c r="BT25" s="2077"/>
      <c r="BU25" s="2077"/>
      <c r="BV25" s="2077"/>
      <c r="BW25" s="2077"/>
      <c r="BX25" s="2077"/>
      <c r="BY25" s="2077"/>
    </row>
    <row r="26" spans="1:84" ht="51" customHeight="1">
      <c r="Q26" s="305"/>
      <c r="R26" s="305"/>
      <c r="S26" s="674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747"/>
      <c r="U26" s="6747"/>
      <c r="V26" s="6747"/>
      <c r="W26" s="6747"/>
      <c r="X26" s="6747"/>
      <c r="Y26" s="6747"/>
      <c r="Z26" s="6747"/>
      <c r="AA26" s="6747"/>
      <c r="AB26" s="6747"/>
      <c r="AC26" s="6747"/>
      <c r="AD26" s="6747"/>
      <c r="AE26" s="6747"/>
      <c r="AF26" s="6747"/>
      <c r="AG26" s="6747"/>
      <c r="AH26" s="6747"/>
      <c r="AI26" s="6747"/>
      <c r="AJ26" s="6747"/>
      <c r="AK26" s="1152"/>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2208"/>
      <c r="BV26" s="2208"/>
      <c r="BW26" s="2208"/>
      <c r="BX26" s="2208"/>
      <c r="BY26" s="2208"/>
    </row>
    <row r="27" spans="1:8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2209"/>
      <c r="BV27" s="2209"/>
      <c r="BW27" s="2209"/>
      <c r="BX27" s="2209"/>
      <c r="BY27" s="2209"/>
    </row>
    <row r="28" spans="1:8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435"/>
    </row>
    <row r="29" spans="1:8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6756" t="str">
        <f>IF(TITLE_NAME_OR_PR_CHANGE="",IF(TITLE_NAME_OR_PR="","",TITLE_NAME_OR_PR),TITLE_NAME_OR_PR_CHANGE)</f>
        <v>Министерство промышленности, экономического развития и торговли Республики Марий Эл</v>
      </c>
      <c r="AM29" s="6756"/>
      <c r="AN29" s="6756"/>
      <c r="AO29" s="6756"/>
      <c r="AP29" s="6756"/>
      <c r="AQ29" s="6756"/>
      <c r="AR29" s="6756"/>
      <c r="AS29" s="2077"/>
      <c r="AT29" s="6756" t="str">
        <f>IF(TITLE_NAME_OR_PR_CHANGE="",IF(TITLE_NAME_OR_PR="","",TITLE_NAME_OR_PR),TITLE_NAME_OR_PR_CHANGE)</f>
        <v>Министерство промышленности, экономического развития и торговли Республики Марий Эл</v>
      </c>
      <c r="AU29" s="6756"/>
      <c r="AV29" s="6756"/>
      <c r="AW29" s="6756"/>
      <c r="AX29" s="6756"/>
      <c r="AY29" s="6756"/>
      <c r="AZ29" s="6756"/>
      <c r="BA29" s="2077"/>
      <c r="BB29" s="6756" t="str">
        <f>IF(TITLE_NAME_OR_PR_CHANGE="",IF(TITLE_NAME_OR_PR="","",TITLE_NAME_OR_PR),TITLE_NAME_OR_PR_CHANGE)</f>
        <v>Министерство промышленности, экономического развития и торговли Республики Марий Эл</v>
      </c>
      <c r="BC29" s="6756"/>
      <c r="BD29" s="6756"/>
      <c r="BE29" s="6756"/>
      <c r="BF29" s="6756"/>
      <c r="BG29" s="6756"/>
      <c r="BH29" s="6756"/>
      <c r="BI29" s="2077"/>
      <c r="BJ29" s="6756" t="str">
        <f>IF(TITLE_NAME_OR_PR_CHANGE="",IF(TITLE_NAME_OR_PR="","",TITLE_NAME_OR_PR),TITLE_NAME_OR_PR_CHANGE)</f>
        <v>Министерство промышленности, экономического развития и торговли Республики Марий Эл</v>
      </c>
      <c r="BK29" s="6756"/>
      <c r="BL29" s="6756"/>
      <c r="BM29" s="6756"/>
      <c r="BN29" s="6756"/>
      <c r="BO29" s="6756"/>
      <c r="BP29" s="6756"/>
      <c r="BQ29" s="2077"/>
      <c r="BR29" s="6756" t="str">
        <f>IF(TITLE_NAME_OR_PR_CHANGE="",IF(TITLE_NAME_OR_PR="","",TITLE_NAME_OR_PR),TITLE_NAME_OR_PR_CHANGE)</f>
        <v>Министерство промышленности, экономического развития и торговли Республики Марий Эл</v>
      </c>
      <c r="BS29" s="6756"/>
      <c r="BT29" s="6756"/>
      <c r="BU29" s="6756"/>
      <c r="BV29" s="6756"/>
      <c r="BW29" s="6756"/>
      <c r="BX29" s="6756"/>
      <c r="BY29" s="2077"/>
      <c r="BZ29" s="253"/>
      <c r="CA29" s="200"/>
      <c r="CB29" s="296"/>
      <c r="CC29" s="296"/>
      <c r="CD29" s="296"/>
      <c r="CE29" s="296"/>
      <c r="CF29" s="296"/>
    </row>
    <row r="30" spans="1:8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6765">
        <f>IF(TITLE_DATE_PR_CHANGE="",IF(TITLE_DATE_PR="","",TITLE_DATE_PR),TITLE_DATE_PR_CHANGE)</f>
        <v>45280.426180555558</v>
      </c>
      <c r="AM30" s="6765"/>
      <c r="AN30" s="6765"/>
      <c r="AO30" s="6765"/>
      <c r="AP30" s="6765"/>
      <c r="AQ30" s="6765"/>
      <c r="AR30" s="6765"/>
      <c r="AS30" s="2077"/>
      <c r="AT30" s="6765">
        <f>IF(TITLE_DATE_PR_CHANGE="",IF(TITLE_DATE_PR="","",TITLE_DATE_PR),TITLE_DATE_PR_CHANGE)</f>
        <v>45280.426180555558</v>
      </c>
      <c r="AU30" s="6765"/>
      <c r="AV30" s="6765"/>
      <c r="AW30" s="6765"/>
      <c r="AX30" s="6765"/>
      <c r="AY30" s="6765"/>
      <c r="AZ30" s="6765"/>
      <c r="BA30" s="2077"/>
      <c r="BB30" s="6765">
        <f>IF(TITLE_DATE_PR_CHANGE="",IF(TITLE_DATE_PR="","",TITLE_DATE_PR),TITLE_DATE_PR_CHANGE)</f>
        <v>45280.426180555558</v>
      </c>
      <c r="BC30" s="6765"/>
      <c r="BD30" s="6765"/>
      <c r="BE30" s="6765"/>
      <c r="BF30" s="6765"/>
      <c r="BG30" s="6765"/>
      <c r="BH30" s="6765"/>
      <c r="BI30" s="2077"/>
      <c r="BJ30" s="6765">
        <f>IF(TITLE_DATE_PR_CHANGE="",IF(TITLE_DATE_PR="","",TITLE_DATE_PR),TITLE_DATE_PR_CHANGE)</f>
        <v>45280.426180555558</v>
      </c>
      <c r="BK30" s="6765"/>
      <c r="BL30" s="6765"/>
      <c r="BM30" s="6765"/>
      <c r="BN30" s="6765"/>
      <c r="BO30" s="6765"/>
      <c r="BP30" s="6765"/>
      <c r="BQ30" s="2077"/>
      <c r="BR30" s="6765">
        <f>IF(TITLE_DATE_PR_CHANGE="",IF(TITLE_DATE_PR="","",TITLE_DATE_PR),TITLE_DATE_PR_CHANGE)</f>
        <v>45280.426180555558</v>
      </c>
      <c r="BS30" s="6765"/>
      <c r="BT30" s="6765"/>
      <c r="BU30" s="6765"/>
      <c r="BV30" s="6765"/>
      <c r="BW30" s="6765"/>
      <c r="BX30" s="6765"/>
      <c r="BY30" s="2077"/>
      <c r="BZ30" s="253"/>
      <c r="CA30" s="200"/>
      <c r="CB30" s="296"/>
      <c r="CC30" s="296"/>
      <c r="CD30" s="296"/>
      <c r="CE30" s="296"/>
      <c r="CF30" s="296"/>
    </row>
    <row r="31" spans="1:8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6756" t="str">
        <f>IF(TITLE_NUMBER_PR_CHANGE="",IF(TITLE_NUMBER_PR="","",TITLE_NUMBER_PR),TITLE_NUMBER_PR_CHANGE)</f>
        <v>124 т, 125 т, 126 т, 169 т</v>
      </c>
      <c r="AM31" s="6756"/>
      <c r="AN31" s="6756"/>
      <c r="AO31" s="6756"/>
      <c r="AP31" s="6756"/>
      <c r="AQ31" s="6756"/>
      <c r="AR31" s="6756"/>
      <c r="AS31" s="2077"/>
      <c r="AT31" s="6756" t="str">
        <f>IF(TITLE_NUMBER_PR_CHANGE="",IF(TITLE_NUMBER_PR="","",TITLE_NUMBER_PR),TITLE_NUMBER_PR_CHANGE)</f>
        <v>124 т, 125 т, 126 т, 169 т</v>
      </c>
      <c r="AU31" s="6756"/>
      <c r="AV31" s="6756"/>
      <c r="AW31" s="6756"/>
      <c r="AX31" s="6756"/>
      <c r="AY31" s="6756"/>
      <c r="AZ31" s="6756"/>
      <c r="BA31" s="2077"/>
      <c r="BB31" s="6756" t="str">
        <f>IF(TITLE_NUMBER_PR_CHANGE="",IF(TITLE_NUMBER_PR="","",TITLE_NUMBER_PR),TITLE_NUMBER_PR_CHANGE)</f>
        <v>124 т, 125 т, 126 т, 169 т</v>
      </c>
      <c r="BC31" s="6756"/>
      <c r="BD31" s="6756"/>
      <c r="BE31" s="6756"/>
      <c r="BF31" s="6756"/>
      <c r="BG31" s="6756"/>
      <c r="BH31" s="6756"/>
      <c r="BI31" s="2077"/>
      <c r="BJ31" s="6756" t="str">
        <f>IF(TITLE_NUMBER_PR_CHANGE="",IF(TITLE_NUMBER_PR="","",TITLE_NUMBER_PR),TITLE_NUMBER_PR_CHANGE)</f>
        <v>124 т, 125 т, 126 т, 169 т</v>
      </c>
      <c r="BK31" s="6756"/>
      <c r="BL31" s="6756"/>
      <c r="BM31" s="6756"/>
      <c r="BN31" s="6756"/>
      <c r="BO31" s="6756"/>
      <c r="BP31" s="6756"/>
      <c r="BQ31" s="2077"/>
      <c r="BR31" s="6756" t="str">
        <f>IF(TITLE_NUMBER_PR_CHANGE="",IF(TITLE_NUMBER_PR="","",TITLE_NUMBER_PR),TITLE_NUMBER_PR_CHANGE)</f>
        <v>124 т, 125 т, 126 т, 169 т</v>
      </c>
      <c r="BS31" s="6756"/>
      <c r="BT31" s="6756"/>
      <c r="BU31" s="6756"/>
      <c r="BV31" s="6756"/>
      <c r="BW31" s="6756"/>
      <c r="BX31" s="6756"/>
      <c r="BY31" s="2077"/>
      <c r="BZ31" s="253"/>
      <c r="CA31" s="200"/>
      <c r="CB31" s="296"/>
      <c r="CC31" s="296"/>
      <c r="CD31" s="296"/>
      <c r="CE31" s="296"/>
      <c r="CF31" s="296"/>
    </row>
    <row r="32" spans="1:8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6756" t="str">
        <f>IF(TITLE_IST_PUB_CHANGE="",IF(TITLE_IST_PUB="","",TITLE_IST_PUB),TITLE_IST_PUB_CHANGE)</f>
        <v>портал Официальное опубликование нормативных правовых актов  Республики Марий Эл</v>
      </c>
      <c r="AM32" s="6756"/>
      <c r="AN32" s="6756"/>
      <c r="AO32" s="6756"/>
      <c r="AP32" s="6756"/>
      <c r="AQ32" s="6756"/>
      <c r="AR32" s="6756"/>
      <c r="AS32" s="2077"/>
      <c r="AT32" s="6756" t="str">
        <f>IF(TITLE_IST_PUB_CHANGE="",IF(TITLE_IST_PUB="","",TITLE_IST_PUB),TITLE_IST_PUB_CHANGE)</f>
        <v>портал Официальное опубликование нормативных правовых актов  Республики Марий Эл</v>
      </c>
      <c r="AU32" s="6756"/>
      <c r="AV32" s="6756"/>
      <c r="AW32" s="6756"/>
      <c r="AX32" s="6756"/>
      <c r="AY32" s="6756"/>
      <c r="AZ32" s="6756"/>
      <c r="BA32" s="2077"/>
      <c r="BB32" s="6756" t="str">
        <f>IF(TITLE_IST_PUB_CHANGE="",IF(TITLE_IST_PUB="","",TITLE_IST_PUB),TITLE_IST_PUB_CHANGE)</f>
        <v>портал Официальное опубликование нормативных правовых актов  Республики Марий Эл</v>
      </c>
      <c r="BC32" s="6756"/>
      <c r="BD32" s="6756"/>
      <c r="BE32" s="6756"/>
      <c r="BF32" s="6756"/>
      <c r="BG32" s="6756"/>
      <c r="BH32" s="6756"/>
      <c r="BI32" s="2077"/>
      <c r="BJ32" s="6756" t="str">
        <f>IF(TITLE_IST_PUB_CHANGE="",IF(TITLE_IST_PUB="","",TITLE_IST_PUB),TITLE_IST_PUB_CHANGE)</f>
        <v>портал Официальное опубликование нормативных правовых актов  Республики Марий Эл</v>
      </c>
      <c r="BK32" s="6756"/>
      <c r="BL32" s="6756"/>
      <c r="BM32" s="6756"/>
      <c r="BN32" s="6756"/>
      <c r="BO32" s="6756"/>
      <c r="BP32" s="6756"/>
      <c r="BQ32" s="2077"/>
      <c r="BR32" s="6756" t="str">
        <f>IF(TITLE_IST_PUB_CHANGE="",IF(TITLE_IST_PUB="","",TITLE_IST_PUB),TITLE_IST_PUB_CHANGE)</f>
        <v>портал Официальное опубликование нормативных правовых актов  Республики Марий Эл</v>
      </c>
      <c r="BS32" s="6756"/>
      <c r="BT32" s="6756"/>
      <c r="BU32" s="6756"/>
      <c r="BV32" s="6756"/>
      <c r="BW32" s="6756"/>
      <c r="BX32" s="6756"/>
      <c r="BY32" s="2077"/>
      <c r="BZ32" s="253"/>
      <c r="CA32" s="200"/>
      <c r="CB32" s="296"/>
      <c r="CC32" s="296"/>
      <c r="CD32" s="296"/>
      <c r="CE32" s="296"/>
      <c r="CF32" s="296"/>
    </row>
    <row r="33" spans="1:8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435"/>
    </row>
    <row r="34" spans="1:8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6765">
        <f>IF(TITLE_DATE_PR_CHANGE="",IF(TITLE_DATE_PR="","",TITLE_DATE_PR),TITLE_DATE_PR_CHANGE)</f>
        <v>45280.426180555558</v>
      </c>
      <c r="AM34" s="6765"/>
      <c r="AN34" s="6765"/>
      <c r="AO34" s="6765"/>
      <c r="AP34" s="6765"/>
      <c r="AQ34" s="6765"/>
      <c r="AR34" s="6765"/>
      <c r="AS34" s="2077"/>
      <c r="AT34" s="6765">
        <f>IF(TITLE_DATE_PR_CHANGE="",IF(TITLE_DATE_PR="","",TITLE_DATE_PR),TITLE_DATE_PR_CHANGE)</f>
        <v>45280.426180555558</v>
      </c>
      <c r="AU34" s="6765"/>
      <c r="AV34" s="6765"/>
      <c r="AW34" s="6765"/>
      <c r="AX34" s="6765"/>
      <c r="AY34" s="6765"/>
      <c r="AZ34" s="6765"/>
      <c r="BA34" s="2077"/>
      <c r="BB34" s="6765">
        <f>IF(TITLE_DATE_PR_CHANGE="",IF(TITLE_DATE_PR="","",TITLE_DATE_PR),TITLE_DATE_PR_CHANGE)</f>
        <v>45280.426180555558</v>
      </c>
      <c r="BC34" s="6765"/>
      <c r="BD34" s="6765"/>
      <c r="BE34" s="6765"/>
      <c r="BF34" s="6765"/>
      <c r="BG34" s="6765"/>
      <c r="BH34" s="6765"/>
      <c r="BI34" s="2077"/>
      <c r="BJ34" s="6765">
        <f>IF(TITLE_DATE_PR_CHANGE="",IF(TITLE_DATE_PR="","",TITLE_DATE_PR),TITLE_DATE_PR_CHANGE)</f>
        <v>45280.426180555558</v>
      </c>
      <c r="BK34" s="6765"/>
      <c r="BL34" s="6765"/>
      <c r="BM34" s="6765"/>
      <c r="BN34" s="6765"/>
      <c r="BO34" s="6765"/>
      <c r="BP34" s="6765"/>
      <c r="BQ34" s="2077"/>
      <c r="BR34" s="6765">
        <f>IF(TITLE_DATE_PR_CHANGE="",IF(TITLE_DATE_PR="","",TITLE_DATE_PR),TITLE_DATE_PR_CHANGE)</f>
        <v>45280.426180555558</v>
      </c>
      <c r="BS34" s="6765"/>
      <c r="BT34" s="6765"/>
      <c r="BU34" s="6765"/>
      <c r="BV34" s="6765"/>
      <c r="BW34" s="6765"/>
      <c r="BX34" s="6765"/>
      <c r="BY34" s="2077"/>
      <c r="BZ34" s="253"/>
      <c r="CA34" s="200"/>
      <c r="CB34" s="296"/>
      <c r="CC34" s="296"/>
      <c r="CD34" s="296"/>
      <c r="CE34" s="296"/>
      <c r="CF34" s="296"/>
    </row>
    <row r="35" spans="1:84" s="2072" customFormat="1" ht="18.7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6756" t="str">
        <f>IF(TITLE_NUMBER_PR_CHANGE="",IF(TITLE_NUMBER_PR="","",TITLE_NUMBER_PR),TITLE_NUMBER_PR_CHANGE)</f>
        <v>124 т, 125 т, 126 т, 169 т</v>
      </c>
      <c r="AM35" s="6756"/>
      <c r="AN35" s="6756"/>
      <c r="AO35" s="6756"/>
      <c r="AP35" s="6756"/>
      <c r="AQ35" s="6756"/>
      <c r="AR35" s="6756"/>
      <c r="AS35" s="2077"/>
      <c r="AT35" s="6756" t="str">
        <f>IF(TITLE_NUMBER_PR_CHANGE="",IF(TITLE_NUMBER_PR="","",TITLE_NUMBER_PR),TITLE_NUMBER_PR_CHANGE)</f>
        <v>124 т, 125 т, 126 т, 169 т</v>
      </c>
      <c r="AU35" s="6756"/>
      <c r="AV35" s="6756"/>
      <c r="AW35" s="6756"/>
      <c r="AX35" s="6756"/>
      <c r="AY35" s="6756"/>
      <c r="AZ35" s="6756"/>
      <c r="BA35" s="2077"/>
      <c r="BB35" s="6756" t="str">
        <f>IF(TITLE_NUMBER_PR_CHANGE="",IF(TITLE_NUMBER_PR="","",TITLE_NUMBER_PR),TITLE_NUMBER_PR_CHANGE)</f>
        <v>124 т, 125 т, 126 т, 169 т</v>
      </c>
      <c r="BC35" s="6756"/>
      <c r="BD35" s="6756"/>
      <c r="BE35" s="6756"/>
      <c r="BF35" s="6756"/>
      <c r="BG35" s="6756"/>
      <c r="BH35" s="6756"/>
      <c r="BI35" s="2077"/>
      <c r="BJ35" s="6756" t="str">
        <f>IF(TITLE_NUMBER_PR_CHANGE="",IF(TITLE_NUMBER_PR="","",TITLE_NUMBER_PR),TITLE_NUMBER_PR_CHANGE)</f>
        <v>124 т, 125 т, 126 т, 169 т</v>
      </c>
      <c r="BK35" s="6756"/>
      <c r="BL35" s="6756"/>
      <c r="BM35" s="6756"/>
      <c r="BN35" s="6756"/>
      <c r="BO35" s="6756"/>
      <c r="BP35" s="6756"/>
      <c r="BQ35" s="2077"/>
      <c r="BR35" s="6756" t="str">
        <f>IF(TITLE_NUMBER_PR_CHANGE="",IF(TITLE_NUMBER_PR="","",TITLE_NUMBER_PR),TITLE_NUMBER_PR_CHANGE)</f>
        <v>124 т, 125 т, 126 т, 169 т</v>
      </c>
      <c r="BS35" s="6756"/>
      <c r="BT35" s="6756"/>
      <c r="BU35" s="6756"/>
      <c r="BV35" s="6756"/>
      <c r="BW35" s="6756"/>
      <c r="BX35" s="6756"/>
      <c r="BY35" s="2077"/>
      <c r="BZ35" s="253"/>
      <c r="CA35" s="200"/>
      <c r="CB35" s="296"/>
      <c r="CC35" s="296"/>
      <c r="CD35" s="296"/>
      <c r="CE35" s="296"/>
      <c r="CF35" s="296"/>
    </row>
    <row r="36" spans="1:84" s="207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544</v>
      </c>
      <c r="AD36" s="253"/>
      <c r="AE36" s="253"/>
      <c r="AF36" s="253"/>
      <c r="AG36" s="253"/>
      <c r="AH36" s="253"/>
      <c r="AI36" s="253"/>
      <c r="AJ36" s="253"/>
      <c r="AK36" s="198" t="s">
        <v>544</v>
      </c>
      <c r="AL36" s="2077"/>
      <c r="AM36" s="2077"/>
      <c r="AN36" s="2077"/>
      <c r="AO36" s="2077"/>
      <c r="AP36" s="2077"/>
      <c r="AQ36" s="2077"/>
      <c r="AR36" s="2077"/>
      <c r="AS36" s="2211" t="s">
        <v>544</v>
      </c>
      <c r="AT36" s="2077"/>
      <c r="AU36" s="2077"/>
      <c r="AV36" s="2077"/>
      <c r="AW36" s="2077"/>
      <c r="AX36" s="2077"/>
      <c r="AY36" s="2077"/>
      <c r="AZ36" s="2077"/>
      <c r="BA36" s="2211" t="s">
        <v>544</v>
      </c>
      <c r="BB36" s="2077"/>
      <c r="BC36" s="2077"/>
      <c r="BD36" s="2077"/>
      <c r="BE36" s="2077"/>
      <c r="BF36" s="2077"/>
      <c r="BG36" s="2077"/>
      <c r="BH36" s="2077"/>
      <c r="BI36" s="2211" t="s">
        <v>544</v>
      </c>
      <c r="BJ36" s="2077"/>
      <c r="BK36" s="2077"/>
      <c r="BL36" s="2077"/>
      <c r="BM36" s="2077"/>
      <c r="BN36" s="2077"/>
      <c r="BO36" s="2077"/>
      <c r="BP36" s="2077"/>
      <c r="BQ36" s="2211" t="s">
        <v>544</v>
      </c>
      <c r="BR36" s="2077"/>
      <c r="BS36" s="2077"/>
      <c r="BT36" s="2077"/>
      <c r="BU36" s="2077"/>
      <c r="BV36" s="2077"/>
      <c r="BW36" s="2077"/>
      <c r="BX36" s="2077"/>
      <c r="BY36" s="2211" t="s">
        <v>544</v>
      </c>
      <c r="CB36" s="296"/>
      <c r="CC36" s="296"/>
      <c r="CD36" s="296"/>
      <c r="CE36" s="296"/>
      <c r="CF36" s="296"/>
    </row>
    <row r="37" spans="1:8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c r="AL37" s="6757" t="s">
        <v>102</v>
      </c>
      <c r="AM37" s="6757"/>
      <c r="AN37" s="6757"/>
      <c r="AO37" s="6757"/>
      <c r="AP37" s="6757"/>
      <c r="AQ37" s="6757"/>
      <c r="AR37" s="6757"/>
      <c r="AS37" s="6757"/>
      <c r="AT37" s="6757" t="s">
        <v>102</v>
      </c>
      <c r="AU37" s="6757"/>
      <c r="AV37" s="6757"/>
      <c r="AW37" s="6757"/>
      <c r="AX37" s="6757"/>
      <c r="AY37" s="6757"/>
      <c r="AZ37" s="6757"/>
      <c r="BA37" s="6757"/>
      <c r="BB37" s="6757" t="s">
        <v>102</v>
      </c>
      <c r="BC37" s="6757"/>
      <c r="BD37" s="6757"/>
      <c r="BE37" s="6757"/>
      <c r="BF37" s="6757"/>
      <c r="BG37" s="6757"/>
      <c r="BH37" s="6757"/>
      <c r="BI37" s="6757"/>
      <c r="BJ37" s="6757" t="s">
        <v>102</v>
      </c>
      <c r="BK37" s="6757"/>
      <c r="BL37" s="6757"/>
      <c r="BM37" s="6757"/>
      <c r="BN37" s="6757"/>
      <c r="BO37" s="6757"/>
      <c r="BP37" s="6757"/>
      <c r="BQ37" s="6757"/>
      <c r="BR37" s="6757" t="s">
        <v>102</v>
      </c>
      <c r="BS37" s="6757"/>
      <c r="BT37" s="6757"/>
      <c r="BU37" s="6757"/>
      <c r="BV37" s="6757"/>
      <c r="BW37" s="6757"/>
      <c r="BX37" s="6757"/>
      <c r="BY37" s="6757"/>
    </row>
    <row r="38" spans="1:8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t="s">
        <v>418</v>
      </c>
      <c r="AM38" s="6629"/>
      <c r="AN38" s="6629"/>
      <c r="AO38" s="6629"/>
      <c r="AP38" s="6629"/>
      <c r="AQ38" s="6629"/>
      <c r="AR38" s="6629"/>
      <c r="AS38" s="6629"/>
      <c r="AT38" s="6629" t="s">
        <v>418</v>
      </c>
      <c r="AU38" s="6629"/>
      <c r="AV38" s="6629"/>
      <c r="AW38" s="6629"/>
      <c r="AX38" s="6629"/>
      <c r="AY38" s="6629"/>
      <c r="AZ38" s="6629"/>
      <c r="BA38" s="6629"/>
      <c r="BB38" s="6629" t="s">
        <v>418</v>
      </c>
      <c r="BC38" s="6629"/>
      <c r="BD38" s="6629"/>
      <c r="BE38" s="6629"/>
      <c r="BF38" s="6629"/>
      <c r="BG38" s="6629"/>
      <c r="BH38" s="6629"/>
      <c r="BI38" s="6629"/>
      <c r="BJ38" s="6629" t="s">
        <v>418</v>
      </c>
      <c r="BK38" s="6629"/>
      <c r="BL38" s="6629"/>
      <c r="BM38" s="6629"/>
      <c r="BN38" s="6629"/>
      <c r="BO38" s="6629"/>
      <c r="BP38" s="6629"/>
      <c r="BQ38" s="6629"/>
      <c r="BR38" s="6629" t="s">
        <v>418</v>
      </c>
      <c r="BS38" s="6629"/>
      <c r="BT38" s="6629"/>
      <c r="BU38" s="6629"/>
      <c r="BV38" s="6629"/>
      <c r="BW38" s="6629"/>
      <c r="BX38" s="6629"/>
      <c r="BY38" s="6629"/>
      <c r="BZ38" s="6629"/>
      <c r="CA38" s="6629"/>
    </row>
    <row r="39" spans="1:84" ht="14.25" customHeight="1">
      <c r="Q39" s="305"/>
      <c r="R39" s="305"/>
      <c r="S39" s="6771" t="s">
        <v>87</v>
      </c>
      <c r="T39" s="6723" t="s">
        <v>545</v>
      </c>
      <c r="U39" s="220"/>
      <c r="V39" s="6772" t="s">
        <v>546</v>
      </c>
      <c r="W39" s="6773"/>
      <c r="X39" s="6773"/>
      <c r="Y39" s="6773"/>
      <c r="Z39" s="6773"/>
      <c r="AA39" s="6773"/>
      <c r="AB39" s="6774"/>
      <c r="AC39" s="6775" t="s">
        <v>547</v>
      </c>
      <c r="AD39" s="6772" t="s">
        <v>546</v>
      </c>
      <c r="AE39" s="6773"/>
      <c r="AF39" s="6773"/>
      <c r="AG39" s="6773"/>
      <c r="AH39" s="6773"/>
      <c r="AI39" s="6773"/>
      <c r="AJ39" s="6774"/>
      <c r="AK39" s="6775" t="s">
        <v>548</v>
      </c>
      <c r="AL39" s="6772" t="s">
        <v>546</v>
      </c>
      <c r="AM39" s="6773"/>
      <c r="AN39" s="6773"/>
      <c r="AO39" s="6773"/>
      <c r="AP39" s="6773"/>
      <c r="AQ39" s="6773"/>
      <c r="AR39" s="6774"/>
      <c r="AS39" s="6775" t="s">
        <v>547</v>
      </c>
      <c r="AT39" s="6772" t="s">
        <v>546</v>
      </c>
      <c r="AU39" s="6773"/>
      <c r="AV39" s="6773"/>
      <c r="AW39" s="6773"/>
      <c r="AX39" s="6773"/>
      <c r="AY39" s="6773"/>
      <c r="AZ39" s="6774"/>
      <c r="BA39" s="6775" t="s">
        <v>547</v>
      </c>
      <c r="BB39" s="6772" t="s">
        <v>546</v>
      </c>
      <c r="BC39" s="6773"/>
      <c r="BD39" s="6773"/>
      <c r="BE39" s="6773"/>
      <c r="BF39" s="6773"/>
      <c r="BG39" s="6773"/>
      <c r="BH39" s="6774"/>
      <c r="BI39" s="6775" t="s">
        <v>547</v>
      </c>
      <c r="BJ39" s="6772" t="s">
        <v>546</v>
      </c>
      <c r="BK39" s="6773"/>
      <c r="BL39" s="6773"/>
      <c r="BM39" s="6773"/>
      <c r="BN39" s="6773"/>
      <c r="BO39" s="6773"/>
      <c r="BP39" s="6774"/>
      <c r="BQ39" s="6775" t="s">
        <v>547</v>
      </c>
      <c r="BR39" s="6772" t="s">
        <v>546</v>
      </c>
      <c r="BS39" s="6773"/>
      <c r="BT39" s="6773"/>
      <c r="BU39" s="6773"/>
      <c r="BV39" s="6773"/>
      <c r="BW39" s="6773"/>
      <c r="BX39" s="6774"/>
      <c r="BY39" s="6775" t="s">
        <v>547</v>
      </c>
      <c r="BZ39" s="6778" t="s">
        <v>549</v>
      </c>
      <c r="CA39" s="6629"/>
    </row>
    <row r="40" spans="1:84" ht="33.75" customHeight="1">
      <c r="Q40" s="305"/>
      <c r="R40" s="305"/>
      <c r="S40" s="6771"/>
      <c r="T40" s="6723"/>
      <c r="U40" s="938"/>
      <c r="V40" s="6693" t="s">
        <v>568</v>
      </c>
      <c r="W40" s="6781"/>
      <c r="X40" s="6600" t="s">
        <v>552</v>
      </c>
      <c r="Y40" s="6599"/>
      <c r="Z40" s="6600" t="s">
        <v>553</v>
      </c>
      <c r="AA40" s="6605"/>
      <c r="AB40" s="6599"/>
      <c r="AC40" s="6776"/>
      <c r="AD40" s="6693" t="s">
        <v>568</v>
      </c>
      <c r="AE40" s="6781"/>
      <c r="AF40" s="6600" t="s">
        <v>552</v>
      </c>
      <c r="AG40" s="6599"/>
      <c r="AH40" s="6600" t="s">
        <v>553</v>
      </c>
      <c r="AI40" s="6605"/>
      <c r="AJ40" s="6599"/>
      <c r="AK40" s="6776"/>
      <c r="AL40" s="6693" t="s">
        <v>568</v>
      </c>
      <c r="AM40" s="6781"/>
      <c r="AN40" s="6600" t="s">
        <v>552</v>
      </c>
      <c r="AO40" s="6599"/>
      <c r="AP40" s="6600" t="s">
        <v>553</v>
      </c>
      <c r="AQ40" s="6605"/>
      <c r="AR40" s="6599"/>
      <c r="AS40" s="6776"/>
      <c r="AT40" s="6693" t="s">
        <v>568</v>
      </c>
      <c r="AU40" s="6781"/>
      <c r="AV40" s="6600" t="s">
        <v>552</v>
      </c>
      <c r="AW40" s="6599"/>
      <c r="AX40" s="6600" t="s">
        <v>553</v>
      </c>
      <c r="AY40" s="6605"/>
      <c r="AZ40" s="6599"/>
      <c r="BA40" s="6776"/>
      <c r="BB40" s="6693" t="s">
        <v>568</v>
      </c>
      <c r="BC40" s="6781"/>
      <c r="BD40" s="6600" t="s">
        <v>552</v>
      </c>
      <c r="BE40" s="6599"/>
      <c r="BF40" s="6600" t="s">
        <v>553</v>
      </c>
      <c r="BG40" s="6605"/>
      <c r="BH40" s="6599"/>
      <c r="BI40" s="6776"/>
      <c r="BJ40" s="6693" t="s">
        <v>568</v>
      </c>
      <c r="BK40" s="6781"/>
      <c r="BL40" s="6600" t="s">
        <v>552</v>
      </c>
      <c r="BM40" s="6599"/>
      <c r="BN40" s="6600" t="s">
        <v>553</v>
      </c>
      <c r="BO40" s="6605"/>
      <c r="BP40" s="6599"/>
      <c r="BQ40" s="6776"/>
      <c r="BR40" s="6693" t="s">
        <v>568</v>
      </c>
      <c r="BS40" s="6781"/>
      <c r="BT40" s="6600" t="s">
        <v>552</v>
      </c>
      <c r="BU40" s="6599"/>
      <c r="BV40" s="6600" t="s">
        <v>553</v>
      </c>
      <c r="BW40" s="6605"/>
      <c r="BX40" s="6599"/>
      <c r="BY40" s="6776"/>
      <c r="BZ40" s="6779"/>
      <c r="CA40" s="6629"/>
    </row>
    <row r="41" spans="1:84" ht="33.7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Q41" s="305"/>
      <c r="R41" s="305"/>
      <c r="S41" s="6771"/>
      <c r="T41" s="6723"/>
      <c r="U41" s="221"/>
      <c r="V41" s="6742"/>
      <c r="W41" s="6782"/>
      <c r="X41" s="1128" t="s">
        <v>561</v>
      </c>
      <c r="Y41" s="1128" t="s">
        <v>562</v>
      </c>
      <c r="Z41" s="1255" t="s">
        <v>563</v>
      </c>
      <c r="AA41" s="6731" t="s">
        <v>564</v>
      </c>
      <c r="AB41" s="6733"/>
      <c r="AC41" s="6777"/>
      <c r="AD41" s="6742"/>
      <c r="AE41" s="6782"/>
      <c r="AF41" s="1128" t="s">
        <v>561</v>
      </c>
      <c r="AG41" s="1128" t="s">
        <v>562</v>
      </c>
      <c r="AH41" s="1255" t="s">
        <v>563</v>
      </c>
      <c r="AI41" s="6731" t="s">
        <v>564</v>
      </c>
      <c r="AJ41" s="6733"/>
      <c r="AK41" s="6777"/>
      <c r="AL41" s="6742"/>
      <c r="AM41" s="6782"/>
      <c r="AN41" s="2212" t="s">
        <v>561</v>
      </c>
      <c r="AO41" s="2212" t="s">
        <v>562</v>
      </c>
      <c r="AP41" s="2212" t="s">
        <v>563</v>
      </c>
      <c r="AQ41" s="6731" t="s">
        <v>564</v>
      </c>
      <c r="AR41" s="6733"/>
      <c r="AS41" s="6777"/>
      <c r="AT41" s="6742"/>
      <c r="AU41" s="6782"/>
      <c r="AV41" s="2212" t="s">
        <v>561</v>
      </c>
      <c r="AW41" s="2212" t="s">
        <v>562</v>
      </c>
      <c r="AX41" s="2212" t="s">
        <v>563</v>
      </c>
      <c r="AY41" s="6731" t="s">
        <v>564</v>
      </c>
      <c r="AZ41" s="6733"/>
      <c r="BA41" s="6777"/>
      <c r="BB41" s="6742"/>
      <c r="BC41" s="6782"/>
      <c r="BD41" s="2212" t="s">
        <v>561</v>
      </c>
      <c r="BE41" s="2212" t="s">
        <v>562</v>
      </c>
      <c r="BF41" s="2212" t="s">
        <v>563</v>
      </c>
      <c r="BG41" s="6731" t="s">
        <v>564</v>
      </c>
      <c r="BH41" s="6733"/>
      <c r="BI41" s="6777"/>
      <c r="BJ41" s="6742"/>
      <c r="BK41" s="6782"/>
      <c r="BL41" s="2212" t="s">
        <v>561</v>
      </c>
      <c r="BM41" s="2212" t="s">
        <v>562</v>
      </c>
      <c r="BN41" s="2212" t="s">
        <v>563</v>
      </c>
      <c r="BO41" s="6731" t="s">
        <v>564</v>
      </c>
      <c r="BP41" s="6733"/>
      <c r="BQ41" s="6777"/>
      <c r="BR41" s="6742"/>
      <c r="BS41" s="6782"/>
      <c r="BT41" s="2212" t="s">
        <v>561</v>
      </c>
      <c r="BU41" s="2212" t="s">
        <v>562</v>
      </c>
      <c r="BV41" s="2212" t="s">
        <v>563</v>
      </c>
      <c r="BW41" s="6731" t="s">
        <v>564</v>
      </c>
      <c r="BX41" s="6733"/>
      <c r="BY41" s="6777"/>
      <c r="BZ41" s="6780"/>
      <c r="CA41" s="6629"/>
    </row>
    <row r="42" spans="1:8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252">
        <f ca="1">OFFSET(V42,0,-1)+1</f>
        <v>3</v>
      </c>
      <c r="W42" s="1252"/>
      <c r="X42" s="1252">
        <f ca="1">OFFSET(X42,0,-1)+1</f>
        <v>1</v>
      </c>
      <c r="Y42" s="1252">
        <f ca="1">OFFSET(Y42,0,-1)+1</f>
        <v>2</v>
      </c>
      <c r="Z42" s="1252">
        <f ca="1">OFFSET(Z42,0,-1)+1</f>
        <v>3</v>
      </c>
      <c r="AA42" s="6770">
        <f ca="1">OFFSET(AA42,0,-1)+1</f>
        <v>4</v>
      </c>
      <c r="AB42" s="6770"/>
      <c r="AC42" s="1252">
        <f ca="1">OFFSET(AC42,0,-2)+1</f>
        <v>5</v>
      </c>
      <c r="AD42" s="1252">
        <f ca="1">OFFSET(AD42,0,-1)+1</f>
        <v>6</v>
      </c>
      <c r="AE42" s="1252"/>
      <c r="AF42" s="1252">
        <f ca="1">OFFSET(AF42,0,-1)+1</f>
        <v>1</v>
      </c>
      <c r="AG42" s="1252">
        <f ca="1">OFFSET(AG42,0,-1)+1</f>
        <v>2</v>
      </c>
      <c r="AH42" s="1252">
        <f ca="1">OFFSET(AH42,0,-1)+1</f>
        <v>3</v>
      </c>
      <c r="AI42" s="6770">
        <f ca="1">OFFSET(AI42,0,-1)+1</f>
        <v>4</v>
      </c>
      <c r="AJ42" s="6770"/>
      <c r="AK42" s="1252">
        <f ca="1">OFFSET(AK42,0,-2)+1</f>
        <v>5</v>
      </c>
      <c r="AL42" s="2213">
        <f ca="1">OFFSET(AL42,0,-1)+1</f>
        <v>6</v>
      </c>
      <c r="AM42" s="2213"/>
      <c r="AN42" s="2213">
        <f ca="1">OFFSET(AN42,0,-1)+1</f>
        <v>1</v>
      </c>
      <c r="AO42" s="2213">
        <f ca="1">OFFSET(AO42,0,-1)+1</f>
        <v>2</v>
      </c>
      <c r="AP42" s="2213">
        <f ca="1">OFFSET(AP42,0,-1)+1</f>
        <v>3</v>
      </c>
      <c r="AQ42" s="6770">
        <f ca="1">OFFSET(AQ42,0,-1)+1</f>
        <v>4</v>
      </c>
      <c r="AR42" s="6770"/>
      <c r="AS42" s="2213">
        <f ca="1">OFFSET(AS42,0,-2)+1</f>
        <v>5</v>
      </c>
      <c r="AT42" s="2213">
        <f ca="1">OFFSET(AT42,0,-1)+1</f>
        <v>6</v>
      </c>
      <c r="AU42" s="2213"/>
      <c r="AV42" s="2213">
        <f ca="1">OFFSET(AV42,0,-1)+1</f>
        <v>1</v>
      </c>
      <c r="AW42" s="2213">
        <f ca="1">OFFSET(AW42,0,-1)+1</f>
        <v>2</v>
      </c>
      <c r="AX42" s="2213">
        <f ca="1">OFFSET(AX42,0,-1)+1</f>
        <v>3</v>
      </c>
      <c r="AY42" s="6770">
        <f ca="1">OFFSET(AY42,0,-1)+1</f>
        <v>4</v>
      </c>
      <c r="AZ42" s="6770"/>
      <c r="BA42" s="2213">
        <f ca="1">OFFSET(BA42,0,-2)+1</f>
        <v>5</v>
      </c>
      <c r="BB42" s="2213">
        <f ca="1">OFFSET(BB42,0,-1)+1</f>
        <v>6</v>
      </c>
      <c r="BC42" s="2213"/>
      <c r="BD42" s="2213">
        <f ca="1">OFFSET(BD42,0,-1)+1</f>
        <v>1</v>
      </c>
      <c r="BE42" s="2213">
        <f ca="1">OFFSET(BE42,0,-1)+1</f>
        <v>2</v>
      </c>
      <c r="BF42" s="2213">
        <f ca="1">OFFSET(BF42,0,-1)+1</f>
        <v>3</v>
      </c>
      <c r="BG42" s="6770">
        <f ca="1">OFFSET(BG42,0,-1)+1</f>
        <v>4</v>
      </c>
      <c r="BH42" s="6770"/>
      <c r="BI42" s="2213">
        <f ca="1">OFFSET(BI42,0,-2)+1</f>
        <v>5</v>
      </c>
      <c r="BJ42" s="2213">
        <f ca="1">OFFSET(BJ42,0,-1)+1</f>
        <v>6</v>
      </c>
      <c r="BK42" s="2213"/>
      <c r="BL42" s="2213">
        <f ca="1">OFFSET(BL42,0,-1)+1</f>
        <v>1</v>
      </c>
      <c r="BM42" s="2213">
        <f ca="1">OFFSET(BM42,0,-1)+1</f>
        <v>2</v>
      </c>
      <c r="BN42" s="2213">
        <f ca="1">OFFSET(BN42,0,-1)+1</f>
        <v>3</v>
      </c>
      <c r="BO42" s="6770">
        <f ca="1">OFFSET(BO42,0,-1)+1</f>
        <v>4</v>
      </c>
      <c r="BP42" s="6770"/>
      <c r="BQ42" s="2213">
        <f ca="1">OFFSET(BQ42,0,-2)+1</f>
        <v>5</v>
      </c>
      <c r="BR42" s="2213">
        <f ca="1">OFFSET(BR42,0,-1)+1</f>
        <v>6</v>
      </c>
      <c r="BS42" s="2213"/>
      <c r="BT42" s="2213">
        <f ca="1">OFFSET(BT42,0,-1)+1</f>
        <v>1</v>
      </c>
      <c r="BU42" s="2213">
        <f ca="1">OFFSET(BU42,0,-1)+1</f>
        <v>2</v>
      </c>
      <c r="BV42" s="2213">
        <f ca="1">OFFSET(BV42,0,-1)+1</f>
        <v>3</v>
      </c>
      <c r="BW42" s="6770">
        <f ca="1">OFFSET(BW42,0,-1)+1</f>
        <v>4</v>
      </c>
      <c r="BX42" s="6770"/>
      <c r="BY42" s="2213">
        <f ca="1">OFFSET(BY42,0,-2)+1</f>
        <v>5</v>
      </c>
      <c r="BZ42" s="1154">
        <f ca="1">OFFSET(BZ42,0,-1)</f>
        <v>5</v>
      </c>
      <c r="CA42" s="1252">
        <f ca="1">OFFSET(CA42,0,-1)+1</f>
        <v>6</v>
      </c>
      <c r="CB42" s="437"/>
      <c r="CC42" s="437"/>
      <c r="CD42" s="437"/>
      <c r="CE42" s="437"/>
      <c r="CF42" s="437"/>
    </row>
    <row r="43" spans="1:84" ht="21" customHeight="1">
      <c r="A43" s="1279" t="s">
        <v>278</v>
      </c>
      <c r="B43" s="1279"/>
      <c r="C43" s="1279"/>
      <c r="D43" s="1279"/>
      <c r="E43" s="6763">
        <v>1</v>
      </c>
      <c r="F43" s="1279"/>
      <c r="G43" s="1279"/>
      <c r="H43" s="1279"/>
      <c r="I43" s="1279"/>
      <c r="J43" s="1279"/>
      <c r="K43" s="1279"/>
      <c r="L43" s="1280"/>
      <c r="M43" s="1281"/>
      <c r="N43" s="1281"/>
      <c r="O43" s="1281"/>
      <c r="P43" s="286"/>
      <c r="Q43" s="285"/>
      <c r="R43" s="280"/>
      <c r="S43" s="1253">
        <f>INDEX(PT_DIFFERENTIATION_NUM_NTAR,MATCH(A43,PT_DIFFERENTIATION_NTAR_ID,0))</f>
        <v>1</v>
      </c>
      <c r="T43" s="217" t="s">
        <v>189</v>
      </c>
      <c r="U43" s="219"/>
      <c r="V43" s="6749"/>
      <c r="W43" s="6750"/>
      <c r="X43" s="6750"/>
      <c r="Y43" s="6750"/>
      <c r="Z43" s="6750"/>
      <c r="AA43" s="6750"/>
      <c r="AB43" s="6750"/>
      <c r="AC43" s="6751"/>
      <c r="AD43" s="6749" t="str">
        <f>INDEX(PT_DIFFERENTIATION_NTAR,MATCH(A43,PT_DIFFERENTIATION_NTAR_ID,0))</f>
        <v>Тариф на теплоноситель, поставляемый потребителям</v>
      </c>
      <c r="AE43" s="6750"/>
      <c r="AF43" s="6750"/>
      <c r="AG43" s="6750"/>
      <c r="AH43" s="6750"/>
      <c r="AI43" s="6750"/>
      <c r="AJ43" s="6750"/>
      <c r="AK43" s="6750"/>
      <c r="AL43" s="6749"/>
      <c r="AM43" s="6750"/>
      <c r="AN43" s="6750"/>
      <c r="AO43" s="6750"/>
      <c r="AP43" s="6750"/>
      <c r="AQ43" s="6750"/>
      <c r="AR43" s="6750"/>
      <c r="AS43" s="6751"/>
      <c r="AT43" s="6749"/>
      <c r="AU43" s="6750"/>
      <c r="AV43" s="6750"/>
      <c r="AW43" s="6750"/>
      <c r="AX43" s="6750"/>
      <c r="AY43" s="6750"/>
      <c r="AZ43" s="6750"/>
      <c r="BA43" s="6751"/>
      <c r="BB43" s="6749"/>
      <c r="BC43" s="6750"/>
      <c r="BD43" s="6750"/>
      <c r="BE43" s="6750"/>
      <c r="BF43" s="6750"/>
      <c r="BG43" s="6750"/>
      <c r="BH43" s="6750"/>
      <c r="BI43" s="6751"/>
      <c r="BJ43" s="6749"/>
      <c r="BK43" s="6750"/>
      <c r="BL43" s="6750"/>
      <c r="BM43" s="6750"/>
      <c r="BN43" s="6750"/>
      <c r="BO43" s="6750"/>
      <c r="BP43" s="6750"/>
      <c r="BQ43" s="6751"/>
      <c r="BR43" s="6749"/>
      <c r="BS43" s="6750"/>
      <c r="BT43" s="6750"/>
      <c r="BU43" s="6750"/>
      <c r="BV43" s="6750"/>
      <c r="BW43" s="6750"/>
      <c r="BX43" s="6750"/>
      <c r="BY43" s="6751"/>
      <c r="BZ43" s="6751"/>
      <c r="CA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C43" s="426"/>
      <c r="CD43" s="426" t="str">
        <f t="shared" ref="CD43:CD74" si="1">IF(T43="","",T43)</f>
        <v>Наименование тарифа</v>
      </c>
      <c r="CE43" s="426"/>
      <c r="CF43" s="426"/>
    </row>
    <row r="44" spans="1:84" ht="21" customHeight="1">
      <c r="A44" s="1279" t="s">
        <v>278</v>
      </c>
      <c r="B44" s="1279" t="s">
        <v>279</v>
      </c>
      <c r="C44" s="1279"/>
      <c r="D44" s="1279"/>
      <c r="E44" s="6764"/>
      <c r="F44" s="6763">
        <v>1</v>
      </c>
      <c r="G44" s="1279"/>
      <c r="H44" s="1279"/>
      <c r="I44" s="1279"/>
      <c r="J44" s="1279"/>
      <c r="K44" s="1279"/>
      <c r="L44" s="1280"/>
      <c r="M44" s="1281"/>
      <c r="N44" s="1281"/>
      <c r="O44" s="1281"/>
      <c r="P44" s="1249"/>
      <c r="Q44" s="277"/>
      <c r="R44" s="278"/>
      <c r="S44" s="1253" t="str">
        <f>INDEX(PT_DIFFERENTIATION_NUM_TER,MATCH(B44,PT_DIFFERENTIATION_TER_ID,0))</f>
        <v>1.1</v>
      </c>
      <c r="T44" s="229" t="s">
        <v>517</v>
      </c>
      <c r="U44" s="219"/>
      <c r="V44" s="6749"/>
      <c r="W44" s="6750"/>
      <c r="X44" s="6750"/>
      <c r="Y44" s="6750"/>
      <c r="Z44" s="6750"/>
      <c r="AA44" s="6750"/>
      <c r="AB44" s="6750"/>
      <c r="AC44" s="6751"/>
      <c r="AD44" s="6749" t="str">
        <f>INDEX(PT_DIFFERENTIATION_TER,MATCH(B44,PT_DIFFERENTIATION_TER_ID,0))</f>
        <v>Территория 3</v>
      </c>
      <c r="AE44" s="6750"/>
      <c r="AF44" s="6750"/>
      <c r="AG44" s="6750"/>
      <c r="AH44" s="6750"/>
      <c r="AI44" s="6750"/>
      <c r="AJ44" s="6750"/>
      <c r="AK44" s="6750"/>
      <c r="AL44" s="6749"/>
      <c r="AM44" s="6750"/>
      <c r="AN44" s="6750"/>
      <c r="AO44" s="6750"/>
      <c r="AP44" s="6750"/>
      <c r="AQ44" s="6750"/>
      <c r="AR44" s="6750"/>
      <c r="AS44" s="6751"/>
      <c r="AT44" s="6749"/>
      <c r="AU44" s="6750"/>
      <c r="AV44" s="6750"/>
      <c r="AW44" s="6750"/>
      <c r="AX44" s="6750"/>
      <c r="AY44" s="6750"/>
      <c r="AZ44" s="6750"/>
      <c r="BA44" s="6751"/>
      <c r="BB44" s="6749"/>
      <c r="BC44" s="6750"/>
      <c r="BD44" s="6750"/>
      <c r="BE44" s="6750"/>
      <c r="BF44" s="6750"/>
      <c r="BG44" s="6750"/>
      <c r="BH44" s="6750"/>
      <c r="BI44" s="6751"/>
      <c r="BJ44" s="6749"/>
      <c r="BK44" s="6750"/>
      <c r="BL44" s="6750"/>
      <c r="BM44" s="6750"/>
      <c r="BN44" s="6750"/>
      <c r="BO44" s="6750"/>
      <c r="BP44" s="6750"/>
      <c r="BQ44" s="6751"/>
      <c r="BR44" s="6749"/>
      <c r="BS44" s="6750"/>
      <c r="BT44" s="6750"/>
      <c r="BU44" s="6750"/>
      <c r="BV44" s="6750"/>
      <c r="BW44" s="6750"/>
      <c r="BX44" s="6750"/>
      <c r="BY44" s="6751"/>
      <c r="BZ44" s="6751"/>
      <c r="CA44" s="1177" t="s">
        <v>518</v>
      </c>
      <c r="CC44" s="426"/>
      <c r="CD44" s="426" t="str">
        <f t="shared" si="1"/>
        <v>Территория действия тарифа</v>
      </c>
      <c r="CE44" s="426"/>
      <c r="CF44" s="426"/>
    </row>
    <row r="45" spans="1:84" ht="23.25" customHeight="1">
      <c r="A45" s="1279" t="s">
        <v>278</v>
      </c>
      <c r="B45" s="1279" t="s">
        <v>279</v>
      </c>
      <c r="C45" s="1279" t="s">
        <v>280</v>
      </c>
      <c r="D45" s="1279"/>
      <c r="E45" s="6764"/>
      <c r="F45" s="6764"/>
      <c r="G45" s="6763">
        <v>1</v>
      </c>
      <c r="H45" s="1279"/>
      <c r="I45" s="1279"/>
      <c r="J45" s="1279"/>
      <c r="K45" s="1279"/>
      <c r="L45" s="1280"/>
      <c r="M45" s="1281"/>
      <c r="N45" s="1281"/>
      <c r="O45" s="1281"/>
      <c r="P45" s="279"/>
      <c r="Q45" s="277"/>
      <c r="R45" s="278"/>
      <c r="S45" s="1253" t="str">
        <f>INDEX(PT_DIFFERENTIATION_NUM_CS,MATCH(C45,PT_DIFFERENTIATION_CS_ID,0))</f>
        <v>1.1.1</v>
      </c>
      <c r="T45" s="230" t="s">
        <v>519</v>
      </c>
      <c r="U45" s="219"/>
      <c r="V45" s="6749"/>
      <c r="W45" s="6750"/>
      <c r="X45" s="6750"/>
      <c r="Y45" s="6750"/>
      <c r="Z45" s="6750"/>
      <c r="AA45" s="6750"/>
      <c r="AB45" s="6750"/>
      <c r="AC45" s="6751"/>
      <c r="AD45" s="6749" t="str">
        <f>INDEX(PT_DIFFERENTIATION_CS,MATCH(C45,PT_DIFFERENTIATION_CS_ID,0))</f>
        <v>без дифференциации</v>
      </c>
      <c r="AE45" s="6750"/>
      <c r="AF45" s="6750"/>
      <c r="AG45" s="6750"/>
      <c r="AH45" s="6750"/>
      <c r="AI45" s="6750"/>
      <c r="AJ45" s="6750"/>
      <c r="AK45" s="6750"/>
      <c r="AL45" s="6749"/>
      <c r="AM45" s="6750"/>
      <c r="AN45" s="6750"/>
      <c r="AO45" s="6750"/>
      <c r="AP45" s="6750"/>
      <c r="AQ45" s="6750"/>
      <c r="AR45" s="6750"/>
      <c r="AS45" s="6751"/>
      <c r="AT45" s="6749"/>
      <c r="AU45" s="6750"/>
      <c r="AV45" s="6750"/>
      <c r="AW45" s="6750"/>
      <c r="AX45" s="6750"/>
      <c r="AY45" s="6750"/>
      <c r="AZ45" s="6750"/>
      <c r="BA45" s="6751"/>
      <c r="BB45" s="6749"/>
      <c r="BC45" s="6750"/>
      <c r="BD45" s="6750"/>
      <c r="BE45" s="6750"/>
      <c r="BF45" s="6750"/>
      <c r="BG45" s="6750"/>
      <c r="BH45" s="6750"/>
      <c r="BI45" s="6751"/>
      <c r="BJ45" s="6749"/>
      <c r="BK45" s="6750"/>
      <c r="BL45" s="6750"/>
      <c r="BM45" s="6750"/>
      <c r="BN45" s="6750"/>
      <c r="BO45" s="6750"/>
      <c r="BP45" s="6750"/>
      <c r="BQ45" s="6751"/>
      <c r="BR45" s="6749"/>
      <c r="BS45" s="6750"/>
      <c r="BT45" s="6750"/>
      <c r="BU45" s="6750"/>
      <c r="BV45" s="6750"/>
      <c r="BW45" s="6750"/>
      <c r="BX45" s="6750"/>
      <c r="BY45" s="6751"/>
      <c r="BZ45" s="6751"/>
      <c r="CA45" s="1177" t="s">
        <v>520</v>
      </c>
      <c r="CC45" s="426"/>
      <c r="CD45" s="426" t="str">
        <f t="shared" si="1"/>
        <v xml:space="preserve">Наименование системы теплоснабжения </v>
      </c>
      <c r="CE45" s="426"/>
      <c r="CF45" s="426"/>
    </row>
    <row r="46" spans="1:84" ht="21" customHeight="1">
      <c r="A46" s="1279" t="s">
        <v>278</v>
      </c>
      <c r="B46" s="1279" t="s">
        <v>279</v>
      </c>
      <c r="C46" s="1279" t="s">
        <v>280</v>
      </c>
      <c r="D46" s="1279" t="s">
        <v>281</v>
      </c>
      <c r="E46" s="6764"/>
      <c r="F46" s="6764"/>
      <c r="G46" s="6764"/>
      <c r="H46" s="6763">
        <v>1</v>
      </c>
      <c r="I46" s="1279"/>
      <c r="J46" s="1279"/>
      <c r="K46" s="1279"/>
      <c r="L46" s="1280"/>
      <c r="M46" s="1281"/>
      <c r="N46" s="1281"/>
      <c r="O46" s="1281"/>
      <c r="P46" s="279"/>
      <c r="Q46" s="277"/>
      <c r="R46" s="278"/>
      <c r="S46" s="1253" t="str">
        <f>INDEX(PT_DIFFERENTIATION_NUM_IST_TE,MATCH(D46,PT_DIFFERENTIATION_IST_TE_ID,0))</f>
        <v>1.1.1.1</v>
      </c>
      <c r="T46" s="231" t="s">
        <v>521</v>
      </c>
      <c r="U46" s="219"/>
      <c r="V46" s="6749"/>
      <c r="W46" s="6750"/>
      <c r="X46" s="6750"/>
      <c r="Y46" s="6750"/>
      <c r="Z46" s="6750"/>
      <c r="AA46" s="6750"/>
      <c r="AB46" s="6750"/>
      <c r="AC46" s="6751"/>
      <c r="AD46" s="6749" t="str">
        <f>INDEX(PT_DIFFERENTIATION_IST_TE,MATCH(D46,PT_DIFFERENTIATION_IST_TE_ID,0))</f>
        <v>без дифференциации</v>
      </c>
      <c r="AE46" s="6750"/>
      <c r="AF46" s="6750"/>
      <c r="AG46" s="6750"/>
      <c r="AH46" s="6750"/>
      <c r="AI46" s="6750"/>
      <c r="AJ46" s="6750"/>
      <c r="AK46" s="6750"/>
      <c r="AL46" s="6749"/>
      <c r="AM46" s="6750"/>
      <c r="AN46" s="6750"/>
      <c r="AO46" s="6750"/>
      <c r="AP46" s="6750"/>
      <c r="AQ46" s="6750"/>
      <c r="AR46" s="6750"/>
      <c r="AS46" s="6751"/>
      <c r="AT46" s="6749"/>
      <c r="AU46" s="6750"/>
      <c r="AV46" s="6750"/>
      <c r="AW46" s="6750"/>
      <c r="AX46" s="6750"/>
      <c r="AY46" s="6750"/>
      <c r="AZ46" s="6750"/>
      <c r="BA46" s="6751"/>
      <c r="BB46" s="6749"/>
      <c r="BC46" s="6750"/>
      <c r="BD46" s="6750"/>
      <c r="BE46" s="6750"/>
      <c r="BF46" s="6750"/>
      <c r="BG46" s="6750"/>
      <c r="BH46" s="6750"/>
      <c r="BI46" s="6751"/>
      <c r="BJ46" s="6749"/>
      <c r="BK46" s="6750"/>
      <c r="BL46" s="6750"/>
      <c r="BM46" s="6750"/>
      <c r="BN46" s="6750"/>
      <c r="BO46" s="6750"/>
      <c r="BP46" s="6750"/>
      <c r="BQ46" s="6751"/>
      <c r="BR46" s="6749"/>
      <c r="BS46" s="6750"/>
      <c r="BT46" s="6750"/>
      <c r="BU46" s="6750"/>
      <c r="BV46" s="6750"/>
      <c r="BW46" s="6750"/>
      <c r="BX46" s="6750"/>
      <c r="BY46" s="6751"/>
      <c r="BZ46" s="6751"/>
      <c r="CA46" s="1177" t="s">
        <v>522</v>
      </c>
      <c r="CC46" s="426"/>
      <c r="CD46" s="426" t="str">
        <f t="shared" si="1"/>
        <v xml:space="preserve">Источник тепловой энергии  </v>
      </c>
      <c r="CE46" s="426"/>
      <c r="CF46" s="426"/>
    </row>
    <row r="47" spans="1:84" s="1817" customFormat="1" ht="0" hidden="1" customHeight="1">
      <c r="A47" s="1260" t="s">
        <v>278</v>
      </c>
      <c r="B47" s="1260" t="s">
        <v>279</v>
      </c>
      <c r="C47" s="1260" t="s">
        <v>280</v>
      </c>
      <c r="D47" s="1260" t="s">
        <v>281</v>
      </c>
      <c r="E47" s="6764"/>
      <c r="F47" s="6764"/>
      <c r="G47" s="6764"/>
      <c r="H47" s="6764"/>
      <c r="I47" s="6761" t="str">
        <f>S46&amp;".1"</f>
        <v>1.1.1.1.1</v>
      </c>
      <c r="J47" s="1260"/>
      <c r="K47" s="1260"/>
      <c r="L47" s="1263" t="s">
        <v>523</v>
      </c>
      <c r="M47" s="436"/>
      <c r="N47" s="436"/>
      <c r="O47" s="436"/>
      <c r="P47" s="6762">
        <v>1</v>
      </c>
      <c r="Q47" s="1248"/>
      <c r="R47" s="281"/>
      <c r="S47" s="949"/>
      <c r="T47" s="1299"/>
      <c r="U47" s="1300"/>
      <c r="V47" s="6790"/>
      <c r="W47" s="6791"/>
      <c r="X47" s="6791"/>
      <c r="Y47" s="6791"/>
      <c r="Z47" s="6791"/>
      <c r="AA47" s="6791"/>
      <c r="AB47" s="6791"/>
      <c r="AC47" s="6792"/>
      <c r="AD47" s="6790"/>
      <c r="AE47" s="6791"/>
      <c r="AF47" s="6791"/>
      <c r="AG47" s="6791"/>
      <c r="AH47" s="6791"/>
      <c r="AI47" s="6791"/>
      <c r="AJ47" s="6791"/>
      <c r="AK47" s="6791"/>
      <c r="AL47" s="6790"/>
      <c r="AM47" s="6791"/>
      <c r="AN47" s="6791"/>
      <c r="AO47" s="6791"/>
      <c r="AP47" s="6791"/>
      <c r="AQ47" s="6791"/>
      <c r="AR47" s="6791"/>
      <c r="AS47" s="6792"/>
      <c r="AT47" s="6790"/>
      <c r="AU47" s="6791"/>
      <c r="AV47" s="6791"/>
      <c r="AW47" s="6791"/>
      <c r="AX47" s="6791"/>
      <c r="AY47" s="6791"/>
      <c r="AZ47" s="6791"/>
      <c r="BA47" s="6792"/>
      <c r="BB47" s="6790"/>
      <c r="BC47" s="6791"/>
      <c r="BD47" s="6791"/>
      <c r="BE47" s="6791"/>
      <c r="BF47" s="6791"/>
      <c r="BG47" s="6791"/>
      <c r="BH47" s="6791"/>
      <c r="BI47" s="6792"/>
      <c r="BJ47" s="6790"/>
      <c r="BK47" s="6791"/>
      <c r="BL47" s="6791"/>
      <c r="BM47" s="6791"/>
      <c r="BN47" s="6791"/>
      <c r="BO47" s="6791"/>
      <c r="BP47" s="6791"/>
      <c r="BQ47" s="6792"/>
      <c r="BR47" s="6790"/>
      <c r="BS47" s="6791"/>
      <c r="BT47" s="6791"/>
      <c r="BU47" s="6791"/>
      <c r="BV47" s="6791"/>
      <c r="BW47" s="6791"/>
      <c r="BX47" s="6791"/>
      <c r="BY47" s="6792"/>
      <c r="BZ47" s="6792"/>
      <c r="CA47" s="1301"/>
      <c r="CC47" s="426"/>
      <c r="CD47" s="426" t="str">
        <f t="shared" si="1"/>
        <v/>
      </c>
      <c r="CE47" s="426"/>
      <c r="CF47" s="426"/>
    </row>
    <row r="48" spans="1:84" ht="21" customHeight="1">
      <c r="A48" s="1279" t="s">
        <v>278</v>
      </c>
      <c r="B48" s="1279" t="s">
        <v>279</v>
      </c>
      <c r="C48" s="1279" t="s">
        <v>280</v>
      </c>
      <c r="D48" s="1279" t="s">
        <v>281</v>
      </c>
      <c r="E48" s="6764"/>
      <c r="F48" s="6764"/>
      <c r="G48" s="6764"/>
      <c r="H48" s="6764"/>
      <c r="I48" s="6784"/>
      <c r="J48" s="6761" t="str">
        <f>S46&amp;".1"</f>
        <v>1.1.1.1.1</v>
      </c>
      <c r="K48" s="1279"/>
      <c r="L48" s="1280" t="s">
        <v>526</v>
      </c>
      <c r="P48" s="6762"/>
      <c r="Q48" s="6762">
        <v>1</v>
      </c>
      <c r="R48" s="282"/>
      <c r="S48" s="1253" t="str">
        <f>$J48</f>
        <v>1.1.1.1.1</v>
      </c>
      <c r="T48" s="205" t="s">
        <v>527</v>
      </c>
      <c r="U48" s="219"/>
      <c r="V48" s="6752"/>
      <c r="W48" s="6753"/>
      <c r="X48" s="6753"/>
      <c r="Y48" s="6753"/>
      <c r="Z48" s="6753"/>
      <c r="AA48" s="6753"/>
      <c r="AB48" s="6753"/>
      <c r="AC48" s="6754"/>
      <c r="AD48" s="6752" t="s">
        <v>566</v>
      </c>
      <c r="AE48" s="6753"/>
      <c r="AF48" s="6753"/>
      <c r="AG48" s="6753"/>
      <c r="AH48" s="6753"/>
      <c r="AI48" s="6753"/>
      <c r="AJ48" s="6753"/>
      <c r="AK48" s="6753"/>
      <c r="AL48" s="6752"/>
      <c r="AM48" s="6753"/>
      <c r="AN48" s="6753"/>
      <c r="AO48" s="6753"/>
      <c r="AP48" s="6753"/>
      <c r="AQ48" s="6753"/>
      <c r="AR48" s="6753"/>
      <c r="AS48" s="6754"/>
      <c r="AT48" s="6752"/>
      <c r="AU48" s="6753"/>
      <c r="AV48" s="6753"/>
      <c r="AW48" s="6753"/>
      <c r="AX48" s="6753"/>
      <c r="AY48" s="6753"/>
      <c r="AZ48" s="6753"/>
      <c r="BA48" s="6754"/>
      <c r="BB48" s="6752"/>
      <c r="BC48" s="6753"/>
      <c r="BD48" s="6753"/>
      <c r="BE48" s="6753"/>
      <c r="BF48" s="6753"/>
      <c r="BG48" s="6753"/>
      <c r="BH48" s="6753"/>
      <c r="BI48" s="6754"/>
      <c r="BJ48" s="6752"/>
      <c r="BK48" s="6753"/>
      <c r="BL48" s="6753"/>
      <c r="BM48" s="6753"/>
      <c r="BN48" s="6753"/>
      <c r="BO48" s="6753"/>
      <c r="BP48" s="6753"/>
      <c r="BQ48" s="6754"/>
      <c r="BR48" s="6752"/>
      <c r="BS48" s="6753"/>
      <c r="BT48" s="6753"/>
      <c r="BU48" s="6753"/>
      <c r="BV48" s="6753"/>
      <c r="BW48" s="6753"/>
      <c r="BX48" s="6753"/>
      <c r="BY48" s="6754"/>
      <c r="BZ48" s="6754"/>
      <c r="CA48" s="1177" t="s">
        <v>528</v>
      </c>
      <c r="CC48" s="426"/>
      <c r="CD48" s="426" t="str">
        <f t="shared" si="1"/>
        <v>Группа потребителей</v>
      </c>
      <c r="CE48" s="426"/>
      <c r="CF48" s="426"/>
    </row>
    <row r="49" spans="1:84" ht="21" customHeight="1">
      <c r="A49" s="1279" t="s">
        <v>278</v>
      </c>
      <c r="B49" s="1279" t="s">
        <v>279</v>
      </c>
      <c r="C49" s="1279" t="s">
        <v>280</v>
      </c>
      <c r="D49" s="1279" t="s">
        <v>281</v>
      </c>
      <c r="E49" s="6764"/>
      <c r="F49" s="6764"/>
      <c r="G49" s="6764"/>
      <c r="H49" s="6764"/>
      <c r="I49" s="6784"/>
      <c r="J49" s="6784"/>
      <c r="K49" s="6761" t="str">
        <f>J48&amp;".1"</f>
        <v>1.1.1.1.1.1</v>
      </c>
      <c r="L49" s="1280" t="s">
        <v>529</v>
      </c>
      <c r="P49" s="6762"/>
      <c r="Q49" s="6762"/>
      <c r="R49" s="282">
        <v>1</v>
      </c>
      <c r="S49" s="1253" t="str">
        <f>$K49</f>
        <v>1.1.1.1.1.1</v>
      </c>
      <c r="T49" s="1264" t="s">
        <v>567</v>
      </c>
      <c r="U49" s="219"/>
      <c r="V49" s="2763"/>
      <c r="W49" s="2763"/>
      <c r="X49" s="2763"/>
      <c r="Y49" s="2764"/>
      <c r="Z49" s="6768"/>
      <c r="AA49" s="6769" t="s">
        <v>61</v>
      </c>
      <c r="AB49" s="6768"/>
      <c r="AC49" s="6769" t="s">
        <v>61</v>
      </c>
      <c r="AD49" s="668">
        <v>54.46</v>
      </c>
      <c r="AE49" s="251"/>
      <c r="AF49" s="668"/>
      <c r="AG49" s="1176"/>
      <c r="AH49" s="6766">
        <v>45292.730636574073</v>
      </c>
      <c r="AI49" s="6610" t="s">
        <v>61</v>
      </c>
      <c r="AJ49" s="6785">
        <v>45838.730717592596</v>
      </c>
      <c r="AK49" s="6610" t="s">
        <v>61</v>
      </c>
      <c r="AL49" s="2078">
        <v>56.25</v>
      </c>
      <c r="AM49" s="2079"/>
      <c r="AN49" s="2078"/>
      <c r="AO49" s="2080"/>
      <c r="AP49" s="6766">
        <v>45839.731249999997</v>
      </c>
      <c r="AQ49" s="6610" t="s">
        <v>61</v>
      </c>
      <c r="AR49" s="6766">
        <v>46203.731469907405</v>
      </c>
      <c r="AS49" s="6610" t="s">
        <v>61</v>
      </c>
      <c r="AT49" s="2078">
        <v>57.94</v>
      </c>
      <c r="AU49" s="2079"/>
      <c r="AV49" s="2078"/>
      <c r="AW49" s="2080"/>
      <c r="AX49" s="6766">
        <v>46204.731805555559</v>
      </c>
      <c r="AY49" s="6610" t="s">
        <v>61</v>
      </c>
      <c r="AZ49" s="6766">
        <v>46568.731990740744</v>
      </c>
      <c r="BA49" s="6610" t="s">
        <v>61</v>
      </c>
      <c r="BB49" s="2078">
        <v>59.68</v>
      </c>
      <c r="BC49" s="2079"/>
      <c r="BD49" s="2078"/>
      <c r="BE49" s="2080"/>
      <c r="BF49" s="6766">
        <v>46569.732233796298</v>
      </c>
      <c r="BG49" s="6610" t="s">
        <v>61</v>
      </c>
      <c r="BH49" s="6766">
        <v>46934.732465277775</v>
      </c>
      <c r="BI49" s="6610" t="s">
        <v>61</v>
      </c>
      <c r="BJ49" s="2078">
        <v>61.47</v>
      </c>
      <c r="BK49" s="2079"/>
      <c r="BL49" s="2078"/>
      <c r="BM49" s="2080"/>
      <c r="BN49" s="6766">
        <v>46935.732777777775</v>
      </c>
      <c r="BO49" s="6610" t="s">
        <v>61</v>
      </c>
      <c r="BP49" s="6766">
        <v>47118.732951388891</v>
      </c>
      <c r="BQ49" s="6610" t="s">
        <v>56</v>
      </c>
      <c r="BR49" s="2763"/>
      <c r="BS49" s="2763"/>
      <c r="BT49" s="2763"/>
      <c r="BU49" s="2764"/>
      <c r="BV49" s="6768"/>
      <c r="BW49" s="6769" t="s">
        <v>61</v>
      </c>
      <c r="BX49" s="6768"/>
      <c r="BY49" s="6769" t="s">
        <v>61</v>
      </c>
      <c r="BZ49" s="1265"/>
      <c r="CA49" s="6758" t="s">
        <v>569</v>
      </c>
      <c r="CB49" s="437" t="e">
        <f ca="1">STRCHECKDATE(V50:BZ50)</f>
        <v>#NAME?</v>
      </c>
      <c r="CC49" s="426"/>
      <c r="CD49" s="426" t="str">
        <f t="shared" si="1"/>
        <v>вода</v>
      </c>
      <c r="CE49" s="426"/>
      <c r="CF49" s="426"/>
    </row>
    <row r="50" spans="1:84" ht="0.75" customHeight="1">
      <c r="A50" s="1279" t="s">
        <v>278</v>
      </c>
      <c r="B50" s="1279" t="s">
        <v>279</v>
      </c>
      <c r="C50" s="1279" t="s">
        <v>280</v>
      </c>
      <c r="D50" s="1279" t="s">
        <v>281</v>
      </c>
      <c r="E50" s="6764"/>
      <c r="F50" s="6764"/>
      <c r="G50" s="6764"/>
      <c r="H50" s="6764"/>
      <c r="I50" s="6784"/>
      <c r="J50" s="6784"/>
      <c r="K50" s="6761"/>
      <c r="L50" s="1280"/>
      <c r="P50" s="6762"/>
      <c r="Q50" s="6762"/>
      <c r="R50" s="282"/>
      <c r="S50" s="1259"/>
      <c r="T50" s="219"/>
      <c r="U50" s="219"/>
      <c r="V50" s="2763"/>
      <c r="W50" s="2763"/>
      <c r="X50" s="2763"/>
      <c r="Y50" s="2082" t="str">
        <f>Z49&amp;"-"&amp;AB49</f>
        <v>-</v>
      </c>
      <c r="Z50" s="6769"/>
      <c r="AA50" s="6769"/>
      <c r="AB50" s="6769"/>
      <c r="AC50" s="6769"/>
      <c r="AD50" s="251"/>
      <c r="AE50" s="251"/>
      <c r="AF50" s="251"/>
      <c r="AG50" s="255" t="str">
        <f>AH49&amp;"-"&amp;AJ49</f>
        <v>45292,7306365741-45838,7307175926</v>
      </c>
      <c r="AH50" s="6767"/>
      <c r="AI50" s="6610"/>
      <c r="AJ50" s="6786"/>
      <c r="AK50" s="6610"/>
      <c r="AL50" s="2079"/>
      <c r="AM50" s="2079"/>
      <c r="AN50" s="2079"/>
      <c r="AO50" s="2082" t="str">
        <f>AP49&amp;"-"&amp;AR49</f>
        <v>45839,73125-46203,7314699074</v>
      </c>
      <c r="AP50" s="6767"/>
      <c r="AQ50" s="6610"/>
      <c r="AR50" s="6767"/>
      <c r="AS50" s="6610"/>
      <c r="AT50" s="2079"/>
      <c r="AU50" s="2079"/>
      <c r="AV50" s="2079"/>
      <c r="AW50" s="2082" t="str">
        <f>AX49&amp;"-"&amp;AZ49</f>
        <v>46204,7318055556-46568,7319907407</v>
      </c>
      <c r="AX50" s="6767"/>
      <c r="AY50" s="6610"/>
      <c r="AZ50" s="6767"/>
      <c r="BA50" s="6610"/>
      <c r="BB50" s="2079"/>
      <c r="BC50" s="2079"/>
      <c r="BD50" s="2079"/>
      <c r="BE50" s="2082" t="str">
        <f>BF49&amp;"-"&amp;BH49</f>
        <v>46569,7322337963-46934,7324652778</v>
      </c>
      <c r="BF50" s="6767"/>
      <c r="BG50" s="6610"/>
      <c r="BH50" s="6767"/>
      <c r="BI50" s="6610"/>
      <c r="BJ50" s="2079"/>
      <c r="BK50" s="2079"/>
      <c r="BL50" s="2079"/>
      <c r="BM50" s="2082" t="str">
        <f>BN49&amp;"-"&amp;BP49</f>
        <v>46935,7327777778-47118,7329513889</v>
      </c>
      <c r="BN50" s="6767"/>
      <c r="BO50" s="6610"/>
      <c r="BP50" s="6767"/>
      <c r="BQ50" s="6610"/>
      <c r="BR50" s="2763"/>
      <c r="BS50" s="2763"/>
      <c r="BT50" s="2763"/>
      <c r="BU50" s="2082" t="str">
        <f>BV49&amp;"-"&amp;BX49</f>
        <v>-</v>
      </c>
      <c r="BV50" s="6769"/>
      <c r="BW50" s="6769"/>
      <c r="BX50" s="6769"/>
      <c r="BY50" s="6769"/>
      <c r="BZ50" s="1266"/>
      <c r="CA50" s="6759"/>
      <c r="CC50" s="426"/>
      <c r="CD50" s="426" t="str">
        <f t="shared" si="1"/>
        <v/>
      </c>
      <c r="CE50" s="426"/>
      <c r="CF50" s="426"/>
    </row>
    <row r="51" spans="1:84" ht="11.25" customHeight="1">
      <c r="A51" s="1279" t="s">
        <v>278</v>
      </c>
      <c r="B51" s="1279" t="s">
        <v>279</v>
      </c>
      <c r="C51" s="1279" t="s">
        <v>280</v>
      </c>
      <c r="D51" s="1279" t="s">
        <v>281</v>
      </c>
      <c r="E51" s="6764"/>
      <c r="F51" s="6764"/>
      <c r="G51" s="6764"/>
      <c r="H51" s="6764"/>
      <c r="I51" s="6784"/>
      <c r="J51" s="6761"/>
      <c r="K51" s="1279"/>
      <c r="L51" s="1280"/>
      <c r="P51" s="6762"/>
      <c r="Q51" s="6762"/>
      <c r="R51" s="281"/>
      <c r="S51" s="1198"/>
      <c r="T51" s="206" t="s">
        <v>531</v>
      </c>
      <c r="U51" s="295"/>
      <c r="V51" s="295"/>
      <c r="W51" s="295"/>
      <c r="X51" s="295"/>
      <c r="Y51" s="295"/>
      <c r="Z51" s="295"/>
      <c r="AA51" s="295"/>
      <c r="AB51" s="295"/>
      <c r="AC51" s="295"/>
      <c r="AD51" s="295"/>
      <c r="AE51" s="295"/>
      <c r="AF51" s="295"/>
      <c r="AG51" s="295"/>
      <c r="AH51" s="295"/>
      <c r="AI51" s="295"/>
      <c r="AJ51" s="295"/>
      <c r="AK51" s="295"/>
      <c r="AL51" s="5170"/>
      <c r="AM51" s="5171"/>
      <c r="AN51" s="5172"/>
      <c r="AO51" s="5173"/>
      <c r="AP51" s="5174"/>
      <c r="AQ51" s="5175"/>
      <c r="AR51" s="5176"/>
      <c r="AS51" s="5177"/>
      <c r="AT51" s="5178"/>
      <c r="AU51" s="5179"/>
      <c r="AV51" s="5180"/>
      <c r="AW51" s="5181"/>
      <c r="AX51" s="5182"/>
      <c r="AY51" s="5183"/>
      <c r="AZ51" s="5184"/>
      <c r="BA51" s="5185"/>
      <c r="BB51" s="5186"/>
      <c r="BC51" s="5187"/>
      <c r="BD51" s="5188"/>
      <c r="BE51" s="5189"/>
      <c r="BF51" s="5190"/>
      <c r="BG51" s="5191"/>
      <c r="BH51" s="5192"/>
      <c r="BI51" s="5193"/>
      <c r="BJ51" s="5194"/>
      <c r="BK51" s="5195"/>
      <c r="BL51" s="5196"/>
      <c r="BM51" s="5197"/>
      <c r="BN51" s="5198"/>
      <c r="BO51" s="5199"/>
      <c r="BP51" s="5200"/>
      <c r="BQ51" s="5201"/>
      <c r="BR51" s="5202"/>
      <c r="BS51" s="5203"/>
      <c r="BT51" s="5204"/>
      <c r="BU51" s="5205"/>
      <c r="BV51" s="5206"/>
      <c r="BW51" s="5207"/>
      <c r="BX51" s="5208"/>
      <c r="BY51" s="5209"/>
      <c r="BZ51" s="250"/>
      <c r="CA51" s="6760"/>
      <c r="CC51" s="426"/>
      <c r="CD51" s="426" t="str">
        <f t="shared" si="1"/>
        <v>Добавить вид теплоносителя (параметры теплоносителя)</v>
      </c>
      <c r="CE51" s="426"/>
      <c r="CF51" s="426"/>
    </row>
    <row r="52" spans="1:84" ht="11.25" customHeight="1">
      <c r="A52" s="1279" t="s">
        <v>278</v>
      </c>
      <c r="B52" s="1279" t="s">
        <v>279</v>
      </c>
      <c r="C52" s="1279" t="s">
        <v>280</v>
      </c>
      <c r="D52" s="1279" t="s">
        <v>281</v>
      </c>
      <c r="E52" s="6764"/>
      <c r="F52" s="6764"/>
      <c r="G52" s="6764"/>
      <c r="H52" s="6764"/>
      <c r="I52" s="6761"/>
      <c r="J52" s="1279"/>
      <c r="K52" s="1279"/>
      <c r="L52" s="1280"/>
      <c r="P52" s="6762"/>
      <c r="Q52" s="1248"/>
      <c r="R52" s="281"/>
      <c r="S52" s="1198"/>
      <c r="T52" s="292" t="s">
        <v>532</v>
      </c>
      <c r="U52" s="295"/>
      <c r="V52" s="295"/>
      <c r="W52" s="295"/>
      <c r="X52" s="295"/>
      <c r="Y52" s="295"/>
      <c r="Z52" s="295"/>
      <c r="AA52" s="295"/>
      <c r="AB52" s="295"/>
      <c r="AC52" s="294"/>
      <c r="AD52" s="295"/>
      <c r="AE52" s="295"/>
      <c r="AF52" s="295"/>
      <c r="AG52" s="295"/>
      <c r="AH52" s="295"/>
      <c r="AI52" s="295"/>
      <c r="AJ52" s="295"/>
      <c r="AK52" s="294"/>
      <c r="AL52" s="5210"/>
      <c r="AM52" s="5211"/>
      <c r="AN52" s="5212"/>
      <c r="AO52" s="5213"/>
      <c r="AP52" s="5214"/>
      <c r="AQ52" s="5215"/>
      <c r="AR52" s="5216"/>
      <c r="AS52" s="5217"/>
      <c r="AT52" s="5218"/>
      <c r="AU52" s="5219"/>
      <c r="AV52" s="5220"/>
      <c r="AW52" s="5221"/>
      <c r="AX52" s="5222"/>
      <c r="AY52" s="5223"/>
      <c r="AZ52" s="5224"/>
      <c r="BA52" s="5225"/>
      <c r="BB52" s="5226"/>
      <c r="BC52" s="5227"/>
      <c r="BD52" s="5228"/>
      <c r="BE52" s="5229"/>
      <c r="BF52" s="5230"/>
      <c r="BG52" s="5231"/>
      <c r="BH52" s="5232"/>
      <c r="BI52" s="5233"/>
      <c r="BJ52" s="5234"/>
      <c r="BK52" s="5235"/>
      <c r="BL52" s="5236"/>
      <c r="BM52" s="5237"/>
      <c r="BN52" s="5238"/>
      <c r="BO52" s="5239"/>
      <c r="BP52" s="5240"/>
      <c r="BQ52" s="5241"/>
      <c r="BR52" s="5242"/>
      <c r="BS52" s="5243"/>
      <c r="BT52" s="5244"/>
      <c r="BU52" s="5245"/>
      <c r="BV52" s="5246"/>
      <c r="BW52" s="5247"/>
      <c r="BX52" s="5248"/>
      <c r="BY52" s="5249"/>
      <c r="BZ52" s="295"/>
      <c r="CA52" s="222"/>
      <c r="CC52" s="426"/>
      <c r="CD52" s="426" t="str">
        <f t="shared" si="1"/>
        <v>Добавить группу потребителей</v>
      </c>
      <c r="CE52" s="426"/>
      <c r="CF52" s="426"/>
    </row>
    <row r="53" spans="1:84" ht="0" hidden="1" customHeight="1">
      <c r="A53" s="1279" t="s">
        <v>278</v>
      </c>
      <c r="B53" s="1279" t="s">
        <v>279</v>
      </c>
      <c r="C53" s="1279" t="s">
        <v>280</v>
      </c>
      <c r="D53" s="1279" t="s">
        <v>281</v>
      </c>
      <c r="E53" s="6764"/>
      <c r="F53" s="6764"/>
      <c r="G53" s="6764"/>
      <c r="H53" s="676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5168"/>
      <c r="AM53" s="5168"/>
      <c r="AN53" s="5168"/>
      <c r="AO53" s="5168"/>
      <c r="AP53" s="5168"/>
      <c r="AQ53" s="5168"/>
      <c r="AR53" s="5168"/>
      <c r="AS53" s="5168"/>
      <c r="AT53" s="5168"/>
      <c r="AU53" s="5168"/>
      <c r="AV53" s="5168"/>
      <c r="AW53" s="5168"/>
      <c r="AX53" s="5168"/>
      <c r="AY53" s="5168"/>
      <c r="AZ53" s="5168"/>
      <c r="BA53" s="5168"/>
      <c r="BB53" s="5168"/>
      <c r="BC53" s="5168"/>
      <c r="BD53" s="5168"/>
      <c r="BE53" s="5168"/>
      <c r="BF53" s="5168"/>
      <c r="BG53" s="5168"/>
      <c r="BH53" s="5168"/>
      <c r="BI53" s="5168"/>
      <c r="BJ53" s="5168"/>
      <c r="BK53" s="5168"/>
      <c r="BL53" s="5168"/>
      <c r="BM53" s="5168"/>
      <c r="BN53" s="5168"/>
      <c r="BO53" s="5168"/>
      <c r="BP53" s="5168"/>
      <c r="BQ53" s="5168"/>
      <c r="BR53" s="5168"/>
      <c r="BS53" s="5168"/>
      <c r="BT53" s="5168"/>
      <c r="BU53" s="5168"/>
      <c r="BV53" s="5168"/>
      <c r="BW53" s="5168"/>
      <c r="BX53" s="5168"/>
      <c r="BY53" s="5168"/>
      <c r="BZ53" s="1304"/>
      <c r="CA53" s="1305"/>
      <c r="CC53" s="426"/>
      <c r="CD53" s="426" t="str">
        <f t="shared" si="1"/>
        <v/>
      </c>
      <c r="CE53" s="426"/>
      <c r="CF53" s="426"/>
    </row>
    <row r="54" spans="1:84" s="2067" customFormat="1" ht="0.75" customHeight="1">
      <c r="A54" s="1260" t="s">
        <v>278</v>
      </c>
      <c r="B54" s="1260" t="s">
        <v>279</v>
      </c>
      <c r="C54" s="1260" t="s">
        <v>280</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2204"/>
      <c r="AM54" s="2204"/>
      <c r="AN54" s="2204"/>
      <c r="AO54" s="2204"/>
      <c r="AP54" s="2204"/>
      <c r="AQ54" s="2204"/>
      <c r="AR54" s="2204"/>
      <c r="AS54" s="2204"/>
      <c r="AT54" s="2204"/>
      <c r="AU54" s="2204"/>
      <c r="AV54" s="2204"/>
      <c r="AW54" s="2204"/>
      <c r="AX54" s="2204"/>
      <c r="AY54" s="2204"/>
      <c r="AZ54" s="2204"/>
      <c r="BA54" s="2204"/>
      <c r="BB54" s="2204"/>
      <c r="BC54" s="2204"/>
      <c r="BD54" s="2204"/>
      <c r="BE54" s="2204"/>
      <c r="BF54" s="2204"/>
      <c r="BG54" s="2204"/>
      <c r="BH54" s="2204"/>
      <c r="BI54" s="2204"/>
      <c r="BJ54" s="2204"/>
      <c r="BK54" s="2204"/>
      <c r="BL54" s="2204"/>
      <c r="BM54" s="2204"/>
      <c r="BN54" s="2204"/>
      <c r="BO54" s="2204"/>
      <c r="BP54" s="2204"/>
      <c r="BQ54" s="2204"/>
      <c r="BR54" s="2204"/>
      <c r="BS54" s="2204"/>
      <c r="BT54" s="2204"/>
      <c r="BU54" s="2204"/>
      <c r="BV54" s="2204"/>
      <c r="BW54" s="2204"/>
      <c r="BX54" s="2204"/>
      <c r="BY54" s="2204"/>
      <c r="BZ54" s="1242"/>
      <c r="CA54" s="1242"/>
      <c r="CC54" s="706"/>
      <c r="CD54" s="706" t="str">
        <f t="shared" si="1"/>
        <v>Добавить источник для дифференциации</v>
      </c>
      <c r="CE54" s="706"/>
      <c r="CF54" s="706"/>
    </row>
    <row r="55" spans="1:84" s="2067" customFormat="1" ht="0.75" customHeight="1">
      <c r="A55" s="1260" t="s">
        <v>278</v>
      </c>
      <c r="B55" s="1260" t="s">
        <v>279</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2204"/>
      <c r="AM55" s="2204"/>
      <c r="AN55" s="2204"/>
      <c r="AO55" s="2204"/>
      <c r="AP55" s="2204"/>
      <c r="AQ55" s="2204"/>
      <c r="AR55" s="2204"/>
      <c r="AS55" s="2204"/>
      <c r="AT55" s="2204"/>
      <c r="AU55" s="2204"/>
      <c r="AV55" s="2204"/>
      <c r="AW55" s="2204"/>
      <c r="AX55" s="2204"/>
      <c r="AY55" s="2204"/>
      <c r="AZ55" s="2204"/>
      <c r="BA55" s="2204"/>
      <c r="BB55" s="2204"/>
      <c r="BC55" s="2204"/>
      <c r="BD55" s="2204"/>
      <c r="BE55" s="2204"/>
      <c r="BF55" s="2204"/>
      <c r="BG55" s="2204"/>
      <c r="BH55" s="2204"/>
      <c r="BI55" s="2204"/>
      <c r="BJ55" s="2204"/>
      <c r="BK55" s="2204"/>
      <c r="BL55" s="2204"/>
      <c r="BM55" s="2204"/>
      <c r="BN55" s="2204"/>
      <c r="BO55" s="2204"/>
      <c r="BP55" s="2204"/>
      <c r="BQ55" s="2204"/>
      <c r="BR55" s="2204"/>
      <c r="BS55" s="2204"/>
      <c r="BT55" s="2204"/>
      <c r="BU55" s="2204"/>
      <c r="BV55" s="2204"/>
      <c r="BW55" s="2204"/>
      <c r="BX55" s="2204"/>
      <c r="BY55" s="2204"/>
      <c r="BZ55" s="1242"/>
      <c r="CA55" s="1242"/>
      <c r="CC55" s="706"/>
      <c r="CD55" s="706" t="str">
        <f t="shared" si="1"/>
        <v>Добавить централизованную систему для дифференциации</v>
      </c>
      <c r="CE55" s="706"/>
      <c r="CF55" s="706"/>
    </row>
    <row r="56" spans="1:84" s="5250" customFormat="1" ht="21" customHeight="1">
      <c r="A56" s="2335"/>
      <c r="B56" s="2335" t="s">
        <v>282</v>
      </c>
      <c r="C56" s="2335"/>
      <c r="D56" s="2335"/>
      <c r="E56" s="6764"/>
      <c r="F56" s="6763" t="s">
        <v>98</v>
      </c>
      <c r="G56" s="2335"/>
      <c r="H56" s="2335"/>
      <c r="I56" s="2335"/>
      <c r="J56" s="2335"/>
      <c r="K56" s="2335"/>
      <c r="L56" s="2336"/>
      <c r="M56" s="2337"/>
      <c r="N56" s="2337"/>
      <c r="O56" s="2337"/>
      <c r="P56" s="2338"/>
      <c r="Q56" s="2339"/>
      <c r="R56" s="2340"/>
      <c r="S56" s="2341" t="str">
        <f>INDEX(PT_DIFFERENTIATION_NUM_TER,MATCH(B56,PT_DIFFERENTIATION_TER_ID,0))</f>
        <v>1.2</v>
      </c>
      <c r="T56" s="2342" t="s">
        <v>517</v>
      </c>
      <c r="U56" s="2343"/>
      <c r="V56" s="6749"/>
      <c r="W56" s="6750"/>
      <c r="X56" s="6750"/>
      <c r="Y56" s="6750"/>
      <c r="Z56" s="6750"/>
      <c r="AA56" s="6750"/>
      <c r="AB56" s="6750"/>
      <c r="AC56" s="6751"/>
      <c r="AD56" s="6749" t="str">
        <f>INDEX(PT_DIFFERENTIATION_TER,MATCH(B56,PT_DIFFERENTIATION_TER_ID,0))</f>
        <v>Территория 7</v>
      </c>
      <c r="AE56" s="6750"/>
      <c r="AF56" s="6750"/>
      <c r="AG56" s="6750"/>
      <c r="AH56" s="6750"/>
      <c r="AI56" s="6750"/>
      <c r="AJ56" s="6750"/>
      <c r="AK56" s="6750"/>
      <c r="AL56" s="6749"/>
      <c r="AM56" s="6750"/>
      <c r="AN56" s="6750"/>
      <c r="AO56" s="6750"/>
      <c r="AP56" s="6750"/>
      <c r="AQ56" s="6750"/>
      <c r="AR56" s="6750"/>
      <c r="AS56" s="6751"/>
      <c r="AT56" s="6749"/>
      <c r="AU56" s="6750"/>
      <c r="AV56" s="6750"/>
      <c r="AW56" s="6750"/>
      <c r="AX56" s="6750"/>
      <c r="AY56" s="6750"/>
      <c r="AZ56" s="6750"/>
      <c r="BA56" s="6751"/>
      <c r="BB56" s="6749"/>
      <c r="BC56" s="6750"/>
      <c r="BD56" s="6750"/>
      <c r="BE56" s="6750"/>
      <c r="BF56" s="6750"/>
      <c r="BG56" s="6750"/>
      <c r="BH56" s="6750"/>
      <c r="BI56" s="6751"/>
      <c r="BJ56" s="6749"/>
      <c r="BK56" s="6750"/>
      <c r="BL56" s="6750"/>
      <c r="BM56" s="6750"/>
      <c r="BN56" s="6750"/>
      <c r="BO56" s="6750"/>
      <c r="BP56" s="6750"/>
      <c r="BQ56" s="6751"/>
      <c r="BR56" s="6749"/>
      <c r="BS56" s="6750"/>
      <c r="BT56" s="6750"/>
      <c r="BU56" s="6750"/>
      <c r="BV56" s="6750"/>
      <c r="BW56" s="6750"/>
      <c r="BX56" s="6750"/>
      <c r="BY56" s="6751"/>
      <c r="BZ56" s="6751"/>
      <c r="CA56" s="2344" t="s">
        <v>518</v>
      </c>
      <c r="CB56" s="2211"/>
      <c r="CC56" s="2345"/>
      <c r="CD56" s="2345" t="str">
        <f t="shared" si="1"/>
        <v>Территория действия тарифа</v>
      </c>
      <c r="CE56" s="2345"/>
      <c r="CF56" s="2345"/>
    </row>
    <row r="57" spans="1:84" s="5251" customFormat="1" ht="23.25" customHeight="1">
      <c r="A57" s="2335"/>
      <c r="B57" s="2335"/>
      <c r="C57" s="2335" t="s">
        <v>283</v>
      </c>
      <c r="D57" s="2335"/>
      <c r="E57" s="6764"/>
      <c r="F57" s="6764">
        <v>1</v>
      </c>
      <c r="G57" s="6763">
        <v>1</v>
      </c>
      <c r="H57" s="2335"/>
      <c r="I57" s="2335"/>
      <c r="J57" s="2335"/>
      <c r="K57" s="2335"/>
      <c r="L57" s="2336"/>
      <c r="M57" s="2337"/>
      <c r="N57" s="2337"/>
      <c r="O57" s="2337"/>
      <c r="P57" s="2347"/>
      <c r="Q57" s="2339"/>
      <c r="R57" s="2340"/>
      <c r="S57" s="2341" t="str">
        <f>INDEX(PT_DIFFERENTIATION_NUM_CS,MATCH(C57,PT_DIFFERENTIATION_CS_ID,0))</f>
        <v>1.2.1</v>
      </c>
      <c r="T57" s="2348" t="s">
        <v>519</v>
      </c>
      <c r="U57" s="2343"/>
      <c r="V57" s="6749"/>
      <c r="W57" s="6750"/>
      <c r="X57" s="6750"/>
      <c r="Y57" s="6750"/>
      <c r="Z57" s="6750"/>
      <c r="AA57" s="6750"/>
      <c r="AB57" s="6750"/>
      <c r="AC57" s="6751"/>
      <c r="AD57" s="6749" t="str">
        <f>INDEX(PT_DIFFERENTIATION_CS,MATCH(C57,PT_DIFFERENTIATION_CS_ID,0))</f>
        <v>без дифференциации</v>
      </c>
      <c r="AE57" s="6750"/>
      <c r="AF57" s="6750"/>
      <c r="AG57" s="6750"/>
      <c r="AH57" s="6750"/>
      <c r="AI57" s="6750"/>
      <c r="AJ57" s="6750"/>
      <c r="AK57" s="6750"/>
      <c r="AL57" s="6749"/>
      <c r="AM57" s="6750"/>
      <c r="AN57" s="6750"/>
      <c r="AO57" s="6750"/>
      <c r="AP57" s="6750"/>
      <c r="AQ57" s="6750"/>
      <c r="AR57" s="6750"/>
      <c r="AS57" s="6751"/>
      <c r="AT57" s="6749"/>
      <c r="AU57" s="6750"/>
      <c r="AV57" s="6750"/>
      <c r="AW57" s="6750"/>
      <c r="AX57" s="6750"/>
      <c r="AY57" s="6750"/>
      <c r="AZ57" s="6750"/>
      <c r="BA57" s="6751"/>
      <c r="BB57" s="6749"/>
      <c r="BC57" s="6750"/>
      <c r="BD57" s="6750"/>
      <c r="BE57" s="6750"/>
      <c r="BF57" s="6750"/>
      <c r="BG57" s="6750"/>
      <c r="BH57" s="6750"/>
      <c r="BI57" s="6751"/>
      <c r="BJ57" s="6749"/>
      <c r="BK57" s="6750"/>
      <c r="BL57" s="6750"/>
      <c r="BM57" s="6750"/>
      <c r="BN57" s="6750"/>
      <c r="BO57" s="6750"/>
      <c r="BP57" s="6750"/>
      <c r="BQ57" s="6751"/>
      <c r="BR57" s="6749"/>
      <c r="BS57" s="6750"/>
      <c r="BT57" s="6750"/>
      <c r="BU57" s="6750"/>
      <c r="BV57" s="6750"/>
      <c r="BW57" s="6750"/>
      <c r="BX57" s="6750"/>
      <c r="BY57" s="6751"/>
      <c r="BZ57" s="6751"/>
      <c r="CA57" s="2344" t="s">
        <v>520</v>
      </c>
      <c r="CB57" s="2211"/>
      <c r="CC57" s="2345"/>
      <c r="CD57" s="2345" t="str">
        <f t="shared" si="1"/>
        <v xml:space="preserve">Наименование системы теплоснабжения </v>
      </c>
      <c r="CE57" s="2345"/>
      <c r="CF57" s="2345"/>
    </row>
    <row r="58" spans="1:84" s="5252" customFormat="1" ht="21" customHeight="1">
      <c r="A58" s="2335"/>
      <c r="B58" s="2335"/>
      <c r="C58" s="2335"/>
      <c r="D58" s="2335" t="s">
        <v>284</v>
      </c>
      <c r="E58" s="6764"/>
      <c r="F58" s="6764">
        <v>1</v>
      </c>
      <c r="G58" s="6764"/>
      <c r="H58" s="6763">
        <v>1</v>
      </c>
      <c r="I58" s="2335"/>
      <c r="J58" s="2335"/>
      <c r="K58" s="2335"/>
      <c r="L58" s="2336"/>
      <c r="M58" s="2337"/>
      <c r="N58" s="2337"/>
      <c r="O58" s="2337"/>
      <c r="P58" s="2347"/>
      <c r="Q58" s="2339"/>
      <c r="R58" s="2340"/>
      <c r="S58" s="2341" t="str">
        <f>INDEX(PT_DIFFERENTIATION_NUM_IST_TE,MATCH(D58,PT_DIFFERENTIATION_IST_TE_ID,0))</f>
        <v>1.2.1.1</v>
      </c>
      <c r="T58" s="2350" t="s">
        <v>521</v>
      </c>
      <c r="U58" s="2343"/>
      <c r="V58" s="6749"/>
      <c r="W58" s="6750"/>
      <c r="X58" s="6750"/>
      <c r="Y58" s="6750"/>
      <c r="Z58" s="6750"/>
      <c r="AA58" s="6750"/>
      <c r="AB58" s="6750"/>
      <c r="AC58" s="6751"/>
      <c r="AD58" s="6749" t="str">
        <f>INDEX(PT_DIFFERENTIATION_IST_TE,MATCH(D58,PT_DIFFERENTIATION_IST_TE_ID,0))</f>
        <v>без дифференциации</v>
      </c>
      <c r="AE58" s="6750"/>
      <c r="AF58" s="6750"/>
      <c r="AG58" s="6750"/>
      <c r="AH58" s="6750"/>
      <c r="AI58" s="6750"/>
      <c r="AJ58" s="6750"/>
      <c r="AK58" s="6750"/>
      <c r="AL58" s="6749"/>
      <c r="AM58" s="6750"/>
      <c r="AN58" s="6750"/>
      <c r="AO58" s="6750"/>
      <c r="AP58" s="6750"/>
      <c r="AQ58" s="6750"/>
      <c r="AR58" s="6750"/>
      <c r="AS58" s="6751"/>
      <c r="AT58" s="6749"/>
      <c r="AU58" s="6750"/>
      <c r="AV58" s="6750"/>
      <c r="AW58" s="6750"/>
      <c r="AX58" s="6750"/>
      <c r="AY58" s="6750"/>
      <c r="AZ58" s="6750"/>
      <c r="BA58" s="6751"/>
      <c r="BB58" s="6749"/>
      <c r="BC58" s="6750"/>
      <c r="BD58" s="6750"/>
      <c r="BE58" s="6750"/>
      <c r="BF58" s="6750"/>
      <c r="BG58" s="6750"/>
      <c r="BH58" s="6750"/>
      <c r="BI58" s="6751"/>
      <c r="BJ58" s="6749"/>
      <c r="BK58" s="6750"/>
      <c r="BL58" s="6750"/>
      <c r="BM58" s="6750"/>
      <c r="BN58" s="6750"/>
      <c r="BO58" s="6750"/>
      <c r="BP58" s="6750"/>
      <c r="BQ58" s="6751"/>
      <c r="BR58" s="6749"/>
      <c r="BS58" s="6750"/>
      <c r="BT58" s="6750"/>
      <c r="BU58" s="6750"/>
      <c r="BV58" s="6750"/>
      <c r="BW58" s="6750"/>
      <c r="BX58" s="6750"/>
      <c r="BY58" s="6751"/>
      <c r="BZ58" s="6751"/>
      <c r="CA58" s="2344" t="s">
        <v>522</v>
      </c>
      <c r="CB58" s="2211"/>
      <c r="CC58" s="2345"/>
      <c r="CD58" s="2345" t="str">
        <f t="shared" si="1"/>
        <v xml:space="preserve">Источник тепловой энергии  </v>
      </c>
      <c r="CE58" s="2345"/>
      <c r="CF58" s="2345"/>
    </row>
    <row r="59" spans="1:84" s="5253" customFormat="1" ht="14.25" customHeight="1">
      <c r="A59" s="2335"/>
      <c r="B59" s="2335"/>
      <c r="C59" s="2335"/>
      <c r="D59" s="2335"/>
      <c r="E59" s="6764"/>
      <c r="F59" s="6764">
        <v>1</v>
      </c>
      <c r="G59" s="6764"/>
      <c r="H59" s="6764"/>
      <c r="I59" s="6761" t="str">
        <f>S58&amp;".1"</f>
        <v>1.2.1.1.1</v>
      </c>
      <c r="J59" s="2335"/>
      <c r="K59" s="2335"/>
      <c r="L59" s="2336" t="s">
        <v>523</v>
      </c>
      <c r="M59" s="2205"/>
      <c r="N59" s="2352"/>
      <c r="O59" s="2352"/>
      <c r="P59" s="6762">
        <v>1</v>
      </c>
      <c r="Q59" s="2353"/>
      <c r="R59" s="2354"/>
      <c r="S59" s="5254"/>
      <c r="T59" s="5255"/>
      <c r="U59" s="5256"/>
      <c r="V59" s="6790"/>
      <c r="W59" s="6791"/>
      <c r="X59" s="6791"/>
      <c r="Y59" s="6791"/>
      <c r="Z59" s="6791"/>
      <c r="AA59" s="6791"/>
      <c r="AB59" s="6791"/>
      <c r="AC59" s="6792"/>
      <c r="AD59" s="6790"/>
      <c r="AE59" s="6791"/>
      <c r="AF59" s="6791"/>
      <c r="AG59" s="6791"/>
      <c r="AH59" s="6791"/>
      <c r="AI59" s="6791"/>
      <c r="AJ59" s="6791"/>
      <c r="AK59" s="6791"/>
      <c r="AL59" s="6790"/>
      <c r="AM59" s="6791"/>
      <c r="AN59" s="6791"/>
      <c r="AO59" s="6791"/>
      <c r="AP59" s="6791"/>
      <c r="AQ59" s="6791"/>
      <c r="AR59" s="6791"/>
      <c r="AS59" s="6792"/>
      <c r="AT59" s="6790"/>
      <c r="AU59" s="6791"/>
      <c r="AV59" s="6791"/>
      <c r="AW59" s="6791"/>
      <c r="AX59" s="6791"/>
      <c r="AY59" s="6791"/>
      <c r="AZ59" s="6791"/>
      <c r="BA59" s="6792"/>
      <c r="BB59" s="6790"/>
      <c r="BC59" s="6791"/>
      <c r="BD59" s="6791"/>
      <c r="BE59" s="6791"/>
      <c r="BF59" s="6791"/>
      <c r="BG59" s="6791"/>
      <c r="BH59" s="6791"/>
      <c r="BI59" s="6792"/>
      <c r="BJ59" s="6790"/>
      <c r="BK59" s="6791"/>
      <c r="BL59" s="6791"/>
      <c r="BM59" s="6791"/>
      <c r="BN59" s="6791"/>
      <c r="BO59" s="6791"/>
      <c r="BP59" s="6791"/>
      <c r="BQ59" s="6792"/>
      <c r="BR59" s="6790"/>
      <c r="BS59" s="6791"/>
      <c r="BT59" s="6791"/>
      <c r="BU59" s="6791"/>
      <c r="BV59" s="6791"/>
      <c r="BW59" s="6791"/>
      <c r="BX59" s="6791"/>
      <c r="BY59" s="6792"/>
      <c r="BZ59" s="6792"/>
      <c r="CA59" s="5257"/>
      <c r="CB59" s="2211"/>
      <c r="CC59" s="2345"/>
      <c r="CD59" s="2345" t="str">
        <f t="shared" si="1"/>
        <v/>
      </c>
      <c r="CE59" s="2345"/>
      <c r="CF59" s="2345"/>
    </row>
    <row r="60" spans="1:84" s="5258" customFormat="1" ht="21" customHeight="1">
      <c r="A60" s="2335"/>
      <c r="B60" s="2335"/>
      <c r="C60" s="2335"/>
      <c r="D60" s="2335"/>
      <c r="E60" s="6764"/>
      <c r="F60" s="6764">
        <v>1</v>
      </c>
      <c r="G60" s="6764"/>
      <c r="H60" s="6764"/>
      <c r="I60" s="6784"/>
      <c r="J60" s="6761" t="str">
        <f>I59&amp;".1"</f>
        <v>1.2.1.1.1.1</v>
      </c>
      <c r="K60" s="2335"/>
      <c r="L60" s="2336" t="s">
        <v>526</v>
      </c>
      <c r="M60" s="2205"/>
      <c r="N60" s="2205"/>
      <c r="O60" s="2352"/>
      <c r="P60" s="6762"/>
      <c r="Q60" s="6762">
        <v>1</v>
      </c>
      <c r="R60" s="2357"/>
      <c r="S60" s="2341" t="str">
        <f>$J60</f>
        <v>1.2.1.1.1.1</v>
      </c>
      <c r="T60" s="2358" t="s">
        <v>527</v>
      </c>
      <c r="U60" s="2343"/>
      <c r="V60" s="6752"/>
      <c r="W60" s="6753"/>
      <c r="X60" s="6753"/>
      <c r="Y60" s="6753"/>
      <c r="Z60" s="6753"/>
      <c r="AA60" s="6753"/>
      <c r="AB60" s="6753"/>
      <c r="AC60" s="6754"/>
      <c r="AD60" s="6752" t="s">
        <v>566</v>
      </c>
      <c r="AE60" s="6753"/>
      <c r="AF60" s="6753"/>
      <c r="AG60" s="6753"/>
      <c r="AH60" s="6753"/>
      <c r="AI60" s="6753"/>
      <c r="AJ60" s="6753"/>
      <c r="AK60" s="6753"/>
      <c r="AL60" s="6752"/>
      <c r="AM60" s="6753"/>
      <c r="AN60" s="6753"/>
      <c r="AO60" s="6753"/>
      <c r="AP60" s="6753"/>
      <c r="AQ60" s="6753"/>
      <c r="AR60" s="6753"/>
      <c r="AS60" s="6754"/>
      <c r="AT60" s="6752"/>
      <c r="AU60" s="6753"/>
      <c r="AV60" s="6753"/>
      <c r="AW60" s="6753"/>
      <c r="AX60" s="6753"/>
      <c r="AY60" s="6753"/>
      <c r="AZ60" s="6753"/>
      <c r="BA60" s="6754"/>
      <c r="BB60" s="6752"/>
      <c r="BC60" s="6753"/>
      <c r="BD60" s="6753"/>
      <c r="BE60" s="6753"/>
      <c r="BF60" s="6753"/>
      <c r="BG60" s="6753"/>
      <c r="BH60" s="6753"/>
      <c r="BI60" s="6754"/>
      <c r="BJ60" s="6752"/>
      <c r="BK60" s="6753"/>
      <c r="BL60" s="6753"/>
      <c r="BM60" s="6753"/>
      <c r="BN60" s="6753"/>
      <c r="BO60" s="6753"/>
      <c r="BP60" s="6753"/>
      <c r="BQ60" s="6754"/>
      <c r="BR60" s="6752"/>
      <c r="BS60" s="6753"/>
      <c r="BT60" s="6753"/>
      <c r="BU60" s="6753"/>
      <c r="BV60" s="6753"/>
      <c r="BW60" s="6753"/>
      <c r="BX60" s="6753"/>
      <c r="BY60" s="6754"/>
      <c r="BZ60" s="6754"/>
      <c r="CA60" s="2344" t="s">
        <v>528</v>
      </c>
      <c r="CB60" s="2211"/>
      <c r="CC60" s="2345"/>
      <c r="CD60" s="2345" t="str">
        <f t="shared" si="1"/>
        <v>Группа потребителей</v>
      </c>
      <c r="CE60" s="2345"/>
      <c r="CF60" s="2345"/>
    </row>
    <row r="61" spans="1:84" s="5259" customFormat="1" ht="21" customHeight="1">
      <c r="A61" s="2335"/>
      <c r="B61" s="2335"/>
      <c r="C61" s="2335"/>
      <c r="D61" s="2335"/>
      <c r="E61" s="6764"/>
      <c r="F61" s="6764">
        <v>1</v>
      </c>
      <c r="G61" s="6764"/>
      <c r="H61" s="6764"/>
      <c r="I61" s="6784"/>
      <c r="J61" s="6784"/>
      <c r="K61" s="6761" t="str">
        <f>J60&amp;".1"</f>
        <v>1.2.1.1.1.1.1</v>
      </c>
      <c r="L61" s="2336" t="s">
        <v>529</v>
      </c>
      <c r="M61" s="2205"/>
      <c r="N61" s="2205"/>
      <c r="O61" s="2205"/>
      <c r="P61" s="6762"/>
      <c r="Q61" s="6762"/>
      <c r="R61" s="2357">
        <v>1</v>
      </c>
      <c r="S61" s="2341" t="str">
        <f>$K61</f>
        <v>1.2.1.1.1.1.1</v>
      </c>
      <c r="T61" s="2360" t="s">
        <v>567</v>
      </c>
      <c r="U61" s="2343"/>
      <c r="V61" s="2078"/>
      <c r="W61" s="2079"/>
      <c r="X61" s="2078"/>
      <c r="Y61" s="2080"/>
      <c r="Z61" s="6766"/>
      <c r="AA61" s="6610" t="s">
        <v>61</v>
      </c>
      <c r="AB61" s="6766"/>
      <c r="AC61" s="6610" t="s">
        <v>61</v>
      </c>
      <c r="AD61" s="2078">
        <v>49.65</v>
      </c>
      <c r="AE61" s="2079"/>
      <c r="AF61" s="2078"/>
      <c r="AG61" s="2080"/>
      <c r="AH61" s="6766">
        <v>45292.733773148146</v>
      </c>
      <c r="AI61" s="6610" t="s">
        <v>61</v>
      </c>
      <c r="AJ61" s="6766">
        <v>45473.733923611115</v>
      </c>
      <c r="AK61" s="6610" t="s">
        <v>61</v>
      </c>
      <c r="AL61" s="2078">
        <v>50.55</v>
      </c>
      <c r="AM61" s="2079"/>
      <c r="AN61" s="2078"/>
      <c r="AO61" s="2080"/>
      <c r="AP61" s="6766">
        <v>45474.734074074076</v>
      </c>
      <c r="AQ61" s="6610" t="s">
        <v>61</v>
      </c>
      <c r="AR61" s="6766">
        <v>45838.734178240738</v>
      </c>
      <c r="AS61" s="6610" t="s">
        <v>61</v>
      </c>
      <c r="AT61" s="2078">
        <v>52.6</v>
      </c>
      <c r="AU61" s="2079"/>
      <c r="AV61" s="2078"/>
      <c r="AW61" s="2080"/>
      <c r="AX61" s="6766">
        <v>45839.734479166669</v>
      </c>
      <c r="AY61" s="6610" t="s">
        <v>61</v>
      </c>
      <c r="AZ61" s="6766">
        <v>46203.7346412037</v>
      </c>
      <c r="BA61" s="6610" t="s">
        <v>61</v>
      </c>
      <c r="BB61" s="2078">
        <v>54.51</v>
      </c>
      <c r="BC61" s="2079"/>
      <c r="BD61" s="2078"/>
      <c r="BE61" s="2080"/>
      <c r="BF61" s="6766">
        <v>46204.734953703701</v>
      </c>
      <c r="BG61" s="6610" t="s">
        <v>61</v>
      </c>
      <c r="BH61" s="6766">
        <v>46568.735115740739</v>
      </c>
      <c r="BI61" s="6610" t="s">
        <v>61</v>
      </c>
      <c r="BJ61" s="2078">
        <v>56.5</v>
      </c>
      <c r="BK61" s="2079"/>
      <c r="BL61" s="2078"/>
      <c r="BM61" s="2080"/>
      <c r="BN61" s="6766">
        <v>46569.735335648147</v>
      </c>
      <c r="BO61" s="6610" t="s">
        <v>61</v>
      </c>
      <c r="BP61" s="6766">
        <v>46934.735509259262</v>
      </c>
      <c r="BQ61" s="6610" t="s">
        <v>61</v>
      </c>
      <c r="BR61" s="2078">
        <v>58.56</v>
      </c>
      <c r="BS61" s="2079"/>
      <c r="BT61" s="2078"/>
      <c r="BU61" s="2080"/>
      <c r="BV61" s="6766">
        <v>46935.736122685186</v>
      </c>
      <c r="BW61" s="6610" t="s">
        <v>61</v>
      </c>
      <c r="BX61" s="6766">
        <v>47118.736273148148</v>
      </c>
      <c r="BY61" s="6610" t="s">
        <v>61</v>
      </c>
      <c r="BZ61" s="2079"/>
      <c r="CA61" s="6758" t="s">
        <v>530</v>
      </c>
      <c r="CB61" s="2211" t="e">
        <f ca="1">STRCHECKDATE(V62:BZ62)</f>
        <v>#NAME?</v>
      </c>
      <c r="CC61" s="2345"/>
      <c r="CD61" s="2345" t="str">
        <f t="shared" si="1"/>
        <v>вода</v>
      </c>
      <c r="CE61" s="2345"/>
      <c r="CF61" s="2345"/>
    </row>
    <row r="62" spans="1:84" s="5260" customFormat="1" ht="0.75" customHeight="1">
      <c r="A62" s="2335"/>
      <c r="B62" s="2335"/>
      <c r="C62" s="2335"/>
      <c r="D62" s="2335"/>
      <c r="E62" s="6764"/>
      <c r="F62" s="6764">
        <v>1</v>
      </c>
      <c r="G62" s="6764"/>
      <c r="H62" s="6764"/>
      <c r="I62" s="6784"/>
      <c r="J62" s="6784"/>
      <c r="K62" s="6761"/>
      <c r="L62" s="2336"/>
      <c r="M62" s="2205"/>
      <c r="N62" s="2205"/>
      <c r="O62" s="2205"/>
      <c r="P62" s="6762"/>
      <c r="Q62" s="6762"/>
      <c r="R62" s="2357"/>
      <c r="S62" s="2362"/>
      <c r="T62" s="2343"/>
      <c r="U62" s="2343"/>
      <c r="V62" s="2079"/>
      <c r="W62" s="2079"/>
      <c r="X62" s="2079"/>
      <c r="Y62" s="2082" t="str">
        <f>Z61&amp;"-"&amp;AB61</f>
        <v>-</v>
      </c>
      <c r="Z62" s="6767"/>
      <c r="AA62" s="6610"/>
      <c r="AB62" s="6767"/>
      <c r="AC62" s="6610"/>
      <c r="AD62" s="2079"/>
      <c r="AE62" s="2079"/>
      <c r="AF62" s="2079"/>
      <c r="AG62" s="2082" t="str">
        <f>AH61&amp;"-"&amp;AJ61</f>
        <v>45292,7337731481-45473,7339236111</v>
      </c>
      <c r="AH62" s="6767"/>
      <c r="AI62" s="6610"/>
      <c r="AJ62" s="6767"/>
      <c r="AK62" s="6610"/>
      <c r="AL62" s="2079"/>
      <c r="AM62" s="2079"/>
      <c r="AN62" s="2079"/>
      <c r="AO62" s="2082" t="str">
        <f>AP61&amp;"-"&amp;AR61</f>
        <v>45474,734074074-45838,7341782407</v>
      </c>
      <c r="AP62" s="6767"/>
      <c r="AQ62" s="6610"/>
      <c r="AR62" s="6767"/>
      <c r="AS62" s="6610"/>
      <c r="AT62" s="2079"/>
      <c r="AU62" s="2079"/>
      <c r="AV62" s="2079"/>
      <c r="AW62" s="2082" t="str">
        <f>AX61&amp;"-"&amp;AZ61</f>
        <v>45839,7344791667-46203,7346412037</v>
      </c>
      <c r="AX62" s="6767"/>
      <c r="AY62" s="6610"/>
      <c r="AZ62" s="6767"/>
      <c r="BA62" s="6610"/>
      <c r="BB62" s="2079"/>
      <c r="BC62" s="2079"/>
      <c r="BD62" s="2079"/>
      <c r="BE62" s="2082" t="str">
        <f>BF61&amp;"-"&amp;BH61</f>
        <v>46204,7349537037-46568,7351157407</v>
      </c>
      <c r="BF62" s="6767"/>
      <c r="BG62" s="6610"/>
      <c r="BH62" s="6767"/>
      <c r="BI62" s="6610"/>
      <c r="BJ62" s="2079"/>
      <c r="BK62" s="2079"/>
      <c r="BL62" s="2079"/>
      <c r="BM62" s="2082" t="str">
        <f>BN61&amp;"-"&amp;BP61</f>
        <v>46569,7353356481-46934,7355092593</v>
      </c>
      <c r="BN62" s="6767"/>
      <c r="BO62" s="6610"/>
      <c r="BP62" s="6767"/>
      <c r="BQ62" s="6610"/>
      <c r="BR62" s="2079"/>
      <c r="BS62" s="2079"/>
      <c r="BT62" s="2079"/>
      <c r="BU62" s="2082" t="str">
        <f>BV61&amp;"-"&amp;BX61</f>
        <v>46935,7361226852-47118,7362731481</v>
      </c>
      <c r="BV62" s="6767"/>
      <c r="BW62" s="6610"/>
      <c r="BX62" s="6767"/>
      <c r="BY62" s="6610"/>
      <c r="BZ62" s="2079"/>
      <c r="CA62" s="6759"/>
      <c r="CB62" s="2211"/>
      <c r="CC62" s="2345"/>
      <c r="CD62" s="2345" t="str">
        <f t="shared" si="1"/>
        <v/>
      </c>
      <c r="CE62" s="2345"/>
      <c r="CF62" s="2345"/>
    </row>
    <row r="63" spans="1:84" s="5261" customFormat="1" ht="15" customHeight="1">
      <c r="A63" s="2335"/>
      <c r="B63" s="2335"/>
      <c r="C63" s="2335"/>
      <c r="D63" s="2335"/>
      <c r="E63" s="6764"/>
      <c r="F63" s="6764">
        <v>1</v>
      </c>
      <c r="G63" s="6764"/>
      <c r="H63" s="6764"/>
      <c r="I63" s="6784"/>
      <c r="J63" s="6761"/>
      <c r="K63" s="2335"/>
      <c r="L63" s="2336"/>
      <c r="M63" s="2205"/>
      <c r="N63" s="2205"/>
      <c r="O63" s="2352"/>
      <c r="P63" s="6762"/>
      <c r="Q63" s="6762"/>
      <c r="R63" s="2354"/>
      <c r="S63" s="5262"/>
      <c r="T63" s="5263" t="s">
        <v>531</v>
      </c>
      <c r="U63" s="5264"/>
      <c r="V63" s="5265"/>
      <c r="W63" s="5266"/>
      <c r="X63" s="5267"/>
      <c r="Y63" s="5268"/>
      <c r="Z63" s="5269"/>
      <c r="AA63" s="5270"/>
      <c r="AB63" s="5271"/>
      <c r="AC63" s="5272"/>
      <c r="AD63" s="5273"/>
      <c r="AE63" s="5274"/>
      <c r="AF63" s="5275"/>
      <c r="AG63" s="5276"/>
      <c r="AH63" s="5277"/>
      <c r="AI63" s="5278"/>
      <c r="AJ63" s="5279"/>
      <c r="AK63" s="5280"/>
      <c r="AL63" s="5281"/>
      <c r="AM63" s="5282"/>
      <c r="AN63" s="5283"/>
      <c r="AO63" s="5284"/>
      <c r="AP63" s="5285"/>
      <c r="AQ63" s="5286"/>
      <c r="AR63" s="5287"/>
      <c r="AS63" s="5288"/>
      <c r="AT63" s="5289"/>
      <c r="AU63" s="5290"/>
      <c r="AV63" s="5291"/>
      <c r="AW63" s="5292"/>
      <c r="AX63" s="5293"/>
      <c r="AY63" s="5294"/>
      <c r="AZ63" s="5295"/>
      <c r="BA63" s="5296"/>
      <c r="BB63" s="5297"/>
      <c r="BC63" s="5298"/>
      <c r="BD63" s="5299"/>
      <c r="BE63" s="5300"/>
      <c r="BF63" s="5301"/>
      <c r="BG63" s="5302"/>
      <c r="BH63" s="5303"/>
      <c r="BI63" s="5304"/>
      <c r="BJ63" s="5305"/>
      <c r="BK63" s="5306"/>
      <c r="BL63" s="5307"/>
      <c r="BM63" s="5308"/>
      <c r="BN63" s="5309"/>
      <c r="BO63" s="5310"/>
      <c r="BP63" s="5311"/>
      <c r="BQ63" s="5312"/>
      <c r="BR63" s="5313"/>
      <c r="BS63" s="5314"/>
      <c r="BT63" s="5315"/>
      <c r="BU63" s="5316"/>
      <c r="BV63" s="5317"/>
      <c r="BW63" s="5318"/>
      <c r="BX63" s="5319"/>
      <c r="BY63" s="5320"/>
      <c r="BZ63" s="5321"/>
      <c r="CA63" s="6760"/>
      <c r="CB63" s="2211"/>
      <c r="CC63" s="2345"/>
      <c r="CD63" s="2345" t="str">
        <f t="shared" si="1"/>
        <v>Добавить вид теплоносителя (параметры теплоносителя)</v>
      </c>
      <c r="CE63" s="2345"/>
      <c r="CF63" s="2345"/>
    </row>
    <row r="64" spans="1:84" s="5322" customFormat="1" ht="15" customHeight="1">
      <c r="A64" s="2335"/>
      <c r="B64" s="2335"/>
      <c r="C64" s="2335"/>
      <c r="D64" s="2335"/>
      <c r="E64" s="6764"/>
      <c r="F64" s="6764">
        <v>1</v>
      </c>
      <c r="G64" s="6764"/>
      <c r="H64" s="6764"/>
      <c r="I64" s="6761"/>
      <c r="J64" s="2335"/>
      <c r="K64" s="2335"/>
      <c r="L64" s="2336"/>
      <c r="M64" s="2205"/>
      <c r="N64" s="2352"/>
      <c r="O64" s="2352"/>
      <c r="P64" s="6762"/>
      <c r="Q64" s="2353"/>
      <c r="R64" s="2354"/>
      <c r="S64" s="5323"/>
      <c r="T64" s="5324" t="s">
        <v>532</v>
      </c>
      <c r="U64" s="5325"/>
      <c r="V64" s="5326"/>
      <c r="W64" s="5327"/>
      <c r="X64" s="5328"/>
      <c r="Y64" s="5329"/>
      <c r="Z64" s="5330"/>
      <c r="AA64" s="5331"/>
      <c r="AB64" s="5332"/>
      <c r="AC64" s="5333"/>
      <c r="AD64" s="5334"/>
      <c r="AE64" s="5335"/>
      <c r="AF64" s="5336"/>
      <c r="AG64" s="5337"/>
      <c r="AH64" s="5338"/>
      <c r="AI64" s="5339"/>
      <c r="AJ64" s="5340"/>
      <c r="AK64" s="5341"/>
      <c r="AL64" s="5342"/>
      <c r="AM64" s="5343"/>
      <c r="AN64" s="5344"/>
      <c r="AO64" s="5345"/>
      <c r="AP64" s="5346"/>
      <c r="AQ64" s="5347"/>
      <c r="AR64" s="5348"/>
      <c r="AS64" s="5349"/>
      <c r="AT64" s="5350"/>
      <c r="AU64" s="5351"/>
      <c r="AV64" s="5352"/>
      <c r="AW64" s="5353"/>
      <c r="AX64" s="5354"/>
      <c r="AY64" s="5355"/>
      <c r="AZ64" s="5356"/>
      <c r="BA64" s="5357"/>
      <c r="BB64" s="5358"/>
      <c r="BC64" s="5359"/>
      <c r="BD64" s="5360"/>
      <c r="BE64" s="5361"/>
      <c r="BF64" s="5362"/>
      <c r="BG64" s="5363"/>
      <c r="BH64" s="5364"/>
      <c r="BI64" s="5365"/>
      <c r="BJ64" s="5366"/>
      <c r="BK64" s="5367"/>
      <c r="BL64" s="5368"/>
      <c r="BM64" s="5369"/>
      <c r="BN64" s="5370"/>
      <c r="BO64" s="5371"/>
      <c r="BP64" s="5372"/>
      <c r="BQ64" s="5373"/>
      <c r="BR64" s="5374"/>
      <c r="BS64" s="5375"/>
      <c r="BT64" s="5376"/>
      <c r="BU64" s="5377"/>
      <c r="BV64" s="5378"/>
      <c r="BW64" s="5379"/>
      <c r="BX64" s="5380"/>
      <c r="BY64" s="5381"/>
      <c r="BZ64" s="5382"/>
      <c r="CA64" s="5383"/>
      <c r="CB64" s="2211"/>
      <c r="CC64" s="2345"/>
      <c r="CD64" s="2345" t="str">
        <f t="shared" si="1"/>
        <v>Добавить группу потребителей</v>
      </c>
      <c r="CE64" s="2345"/>
      <c r="CF64" s="2345"/>
    </row>
    <row r="65" spans="1:84" s="5384" customFormat="1" ht="14.25" customHeight="1">
      <c r="A65" s="2335"/>
      <c r="B65" s="2335"/>
      <c r="C65" s="2335"/>
      <c r="D65" s="2335"/>
      <c r="E65" s="6764"/>
      <c r="F65" s="6764">
        <v>1</v>
      </c>
      <c r="G65" s="6764"/>
      <c r="H65" s="6763"/>
      <c r="I65" s="2335"/>
      <c r="J65" s="2335"/>
      <c r="K65" s="2335"/>
      <c r="L65" s="2336"/>
      <c r="M65" s="2337"/>
      <c r="N65" s="2337"/>
      <c r="O65" s="2205"/>
      <c r="P65" s="2487"/>
      <c r="Q65" s="2488"/>
      <c r="R65" s="2489"/>
      <c r="S65" s="5385"/>
      <c r="T65" s="5386"/>
      <c r="U65" s="5168"/>
      <c r="V65" s="5168"/>
      <c r="W65" s="5168"/>
      <c r="X65" s="5168"/>
      <c r="Y65" s="5168"/>
      <c r="Z65" s="5168"/>
      <c r="AA65" s="5168"/>
      <c r="AB65" s="5168"/>
      <c r="AC65" s="5168"/>
      <c r="AD65" s="5168"/>
      <c r="AE65" s="5168"/>
      <c r="AF65" s="5168"/>
      <c r="AG65" s="5168"/>
      <c r="AH65" s="5168"/>
      <c r="AI65" s="5168"/>
      <c r="AJ65" s="5168"/>
      <c r="AK65" s="5168"/>
      <c r="AL65" s="5168"/>
      <c r="AM65" s="5168"/>
      <c r="AN65" s="5168"/>
      <c r="AO65" s="5168"/>
      <c r="AP65" s="5168"/>
      <c r="AQ65" s="5168"/>
      <c r="AR65" s="5168"/>
      <c r="AS65" s="5168"/>
      <c r="AT65" s="5168"/>
      <c r="AU65" s="5168"/>
      <c r="AV65" s="5168"/>
      <c r="AW65" s="5168"/>
      <c r="AX65" s="5168"/>
      <c r="AY65" s="5168"/>
      <c r="AZ65" s="5168"/>
      <c r="BA65" s="5168"/>
      <c r="BB65" s="5168"/>
      <c r="BC65" s="5168"/>
      <c r="BD65" s="5168"/>
      <c r="BE65" s="5168"/>
      <c r="BF65" s="5168"/>
      <c r="BG65" s="5168"/>
      <c r="BH65" s="5168"/>
      <c r="BI65" s="5168"/>
      <c r="BJ65" s="5168"/>
      <c r="BK65" s="5168"/>
      <c r="BL65" s="5168"/>
      <c r="BM65" s="5168"/>
      <c r="BN65" s="5168"/>
      <c r="BO65" s="5168"/>
      <c r="BP65" s="5168"/>
      <c r="BQ65" s="5168"/>
      <c r="BR65" s="5168"/>
      <c r="BS65" s="5168"/>
      <c r="BT65" s="5168"/>
      <c r="BU65" s="5168"/>
      <c r="BV65" s="5168"/>
      <c r="BW65" s="5168"/>
      <c r="BX65" s="5168"/>
      <c r="BY65" s="5168"/>
      <c r="BZ65" s="5168"/>
      <c r="CA65" s="5387"/>
      <c r="CB65" s="2211"/>
      <c r="CC65" s="2345"/>
      <c r="CD65" s="2345" t="str">
        <f t="shared" si="1"/>
        <v/>
      </c>
      <c r="CE65" s="2345"/>
      <c r="CF65" s="2345"/>
    </row>
    <row r="66" spans="1:84" s="5388" customFormat="1" ht="0.75" customHeight="1">
      <c r="A66" s="2552"/>
      <c r="B66" s="2552"/>
      <c r="C66" s="2552"/>
      <c r="D66" s="2552"/>
      <c r="E66" s="6764"/>
      <c r="F66" s="6764">
        <v>1</v>
      </c>
      <c r="G66" s="6763"/>
      <c r="H66" s="2552"/>
      <c r="I66" s="2552"/>
      <c r="J66" s="2552"/>
      <c r="K66" s="2552"/>
      <c r="L66" s="2553"/>
      <c r="M66" s="2554"/>
      <c r="N66" s="2554"/>
      <c r="O66" s="2211"/>
      <c r="P66" s="2555"/>
      <c r="Q66" s="2556"/>
      <c r="R66" s="2555"/>
      <c r="S66" s="2557"/>
      <c r="T66" s="2558" t="s">
        <v>228</v>
      </c>
      <c r="U66" s="2203"/>
      <c r="V66" s="2203"/>
      <c r="W66" s="2203"/>
      <c r="X66" s="2203"/>
      <c r="Y66" s="2203"/>
      <c r="Z66" s="2203"/>
      <c r="AA66" s="2203"/>
      <c r="AB66" s="2203"/>
      <c r="AC66" s="2203"/>
      <c r="AD66" s="2203"/>
      <c r="AE66" s="2203"/>
      <c r="AF66" s="2203"/>
      <c r="AG66" s="2203"/>
      <c r="AH66" s="2203"/>
      <c r="AI66" s="2203"/>
      <c r="AJ66" s="2203"/>
      <c r="AK66" s="2203"/>
      <c r="AL66" s="2203"/>
      <c r="AM66" s="2203"/>
      <c r="AN66" s="2203"/>
      <c r="AO66" s="2203"/>
      <c r="AP66" s="2203"/>
      <c r="AQ66" s="2203"/>
      <c r="AR66" s="2203"/>
      <c r="AS66" s="2203"/>
      <c r="AT66" s="2203"/>
      <c r="AU66" s="2203"/>
      <c r="AV66" s="2203"/>
      <c r="AW66" s="2203"/>
      <c r="AX66" s="2203"/>
      <c r="AY66" s="2203"/>
      <c r="AZ66" s="2203"/>
      <c r="BA66" s="2203"/>
      <c r="BB66" s="2203"/>
      <c r="BC66" s="2203"/>
      <c r="BD66" s="2203"/>
      <c r="BE66" s="2203"/>
      <c r="BF66" s="2203"/>
      <c r="BG66" s="2203"/>
      <c r="BH66" s="2203"/>
      <c r="BI66" s="2203"/>
      <c r="BJ66" s="2203"/>
      <c r="BK66" s="2203"/>
      <c r="BL66" s="2203"/>
      <c r="BM66" s="2203"/>
      <c r="BN66" s="2203"/>
      <c r="BO66" s="2203"/>
      <c r="BP66" s="2203"/>
      <c r="BQ66" s="2203"/>
      <c r="BR66" s="2203"/>
      <c r="BS66" s="2203"/>
      <c r="BT66" s="2203"/>
      <c r="BU66" s="2203"/>
      <c r="BV66" s="2203"/>
      <c r="BW66" s="2203"/>
      <c r="BX66" s="2203"/>
      <c r="BY66" s="2203"/>
      <c r="BZ66" s="2203"/>
      <c r="CA66" s="2203"/>
      <c r="CB66" s="2211"/>
      <c r="CC66" s="2345"/>
      <c r="CD66" s="2345" t="str">
        <f t="shared" si="1"/>
        <v>Добавить источник для дифференциации</v>
      </c>
      <c r="CE66" s="2345"/>
      <c r="CF66" s="2345"/>
    </row>
    <row r="67" spans="1:84" s="5389" customFormat="1" ht="0.75" customHeight="1">
      <c r="A67" s="2552"/>
      <c r="B67" s="2552"/>
      <c r="C67" s="2552"/>
      <c r="D67" s="2552"/>
      <c r="E67" s="6764"/>
      <c r="F67" s="6763">
        <v>1</v>
      </c>
      <c r="G67" s="2552"/>
      <c r="H67" s="2552"/>
      <c r="I67" s="2552"/>
      <c r="J67" s="2552"/>
      <c r="K67" s="2552"/>
      <c r="L67" s="2553"/>
      <c r="M67" s="2560"/>
      <c r="N67" s="2560"/>
      <c r="O67" s="2211"/>
      <c r="P67" s="2555"/>
      <c r="Q67" s="2556"/>
      <c r="R67" s="2555"/>
      <c r="S67" s="2561"/>
      <c r="T67" s="2562" t="s">
        <v>229</v>
      </c>
      <c r="U67" s="2204"/>
      <c r="V67" s="2204"/>
      <c r="W67" s="2204"/>
      <c r="X67" s="2204"/>
      <c r="Y67" s="2204"/>
      <c r="Z67" s="2204"/>
      <c r="AA67" s="2204"/>
      <c r="AB67" s="2204"/>
      <c r="AC67" s="2204"/>
      <c r="AD67" s="2204"/>
      <c r="AE67" s="2204"/>
      <c r="AF67" s="2204"/>
      <c r="AG67" s="2204"/>
      <c r="AH67" s="2204"/>
      <c r="AI67" s="2204"/>
      <c r="AJ67" s="2204"/>
      <c r="AK67" s="2204"/>
      <c r="AL67" s="2204"/>
      <c r="AM67" s="2204"/>
      <c r="AN67" s="2204"/>
      <c r="AO67" s="2204"/>
      <c r="AP67" s="2204"/>
      <c r="AQ67" s="2204"/>
      <c r="AR67" s="2204"/>
      <c r="AS67" s="2204"/>
      <c r="AT67" s="2204"/>
      <c r="AU67" s="2204"/>
      <c r="AV67" s="2204"/>
      <c r="AW67" s="2204"/>
      <c r="AX67" s="2204"/>
      <c r="AY67" s="2204"/>
      <c r="AZ67" s="2204"/>
      <c r="BA67" s="2204"/>
      <c r="BB67" s="2204"/>
      <c r="BC67" s="2204"/>
      <c r="BD67" s="2204"/>
      <c r="BE67" s="2204"/>
      <c r="BF67" s="2204"/>
      <c r="BG67" s="2204"/>
      <c r="BH67" s="2204"/>
      <c r="BI67" s="2204"/>
      <c r="BJ67" s="2204"/>
      <c r="BK67" s="2204"/>
      <c r="BL67" s="2204"/>
      <c r="BM67" s="2204"/>
      <c r="BN67" s="2204"/>
      <c r="BO67" s="2204"/>
      <c r="BP67" s="2204"/>
      <c r="BQ67" s="2204"/>
      <c r="BR67" s="2204"/>
      <c r="BS67" s="2204"/>
      <c r="BT67" s="2204"/>
      <c r="BU67" s="2204"/>
      <c r="BV67" s="2204"/>
      <c r="BW67" s="2204"/>
      <c r="BX67" s="2204"/>
      <c r="BY67" s="2204"/>
      <c r="BZ67" s="2204"/>
      <c r="CA67" s="2204"/>
      <c r="CB67" s="2211"/>
      <c r="CC67" s="2345"/>
      <c r="CD67" s="2345" t="str">
        <f t="shared" si="1"/>
        <v>Добавить централизованную систему для дифференциации</v>
      </c>
      <c r="CE67" s="2345"/>
      <c r="CF67" s="2345"/>
    </row>
    <row r="68" spans="1:84" s="5390" customFormat="1" ht="21" customHeight="1">
      <c r="A68" s="2335"/>
      <c r="B68" s="2335" t="s">
        <v>285</v>
      </c>
      <c r="C68" s="2335"/>
      <c r="D68" s="2335"/>
      <c r="E68" s="6764"/>
      <c r="F68" s="6763" t="s">
        <v>89</v>
      </c>
      <c r="G68" s="2335"/>
      <c r="H68" s="2335"/>
      <c r="I68" s="2335"/>
      <c r="J68" s="2335"/>
      <c r="K68" s="2335"/>
      <c r="L68" s="2336"/>
      <c r="M68" s="2337"/>
      <c r="N68" s="2337"/>
      <c r="O68" s="2337"/>
      <c r="P68" s="2338"/>
      <c r="Q68" s="2339"/>
      <c r="R68" s="2340"/>
      <c r="S68" s="2341" t="str">
        <f>INDEX(PT_DIFFERENTIATION_NUM_TER,MATCH(B68,PT_DIFFERENTIATION_TER_ID,0))</f>
        <v>1.3</v>
      </c>
      <c r="T68" s="2342" t="s">
        <v>517</v>
      </c>
      <c r="U68" s="2343"/>
      <c r="V68" s="6749"/>
      <c r="W68" s="6750"/>
      <c r="X68" s="6750"/>
      <c r="Y68" s="6750"/>
      <c r="Z68" s="6750"/>
      <c r="AA68" s="6750"/>
      <c r="AB68" s="6750"/>
      <c r="AC68" s="6751"/>
      <c r="AD68" s="6749" t="str">
        <f>INDEX(PT_DIFFERENTIATION_TER,MATCH(B68,PT_DIFFERENTIATION_TER_ID,0))</f>
        <v>Территория 10</v>
      </c>
      <c r="AE68" s="6750"/>
      <c r="AF68" s="6750"/>
      <c r="AG68" s="6750"/>
      <c r="AH68" s="6750"/>
      <c r="AI68" s="6750"/>
      <c r="AJ68" s="6750"/>
      <c r="AK68" s="6750"/>
      <c r="AL68" s="6749"/>
      <c r="AM68" s="6750"/>
      <c r="AN68" s="6750"/>
      <c r="AO68" s="6750"/>
      <c r="AP68" s="6750"/>
      <c r="AQ68" s="6750"/>
      <c r="AR68" s="6750"/>
      <c r="AS68" s="6751"/>
      <c r="AT68" s="6749"/>
      <c r="AU68" s="6750"/>
      <c r="AV68" s="6750"/>
      <c r="AW68" s="6750"/>
      <c r="AX68" s="6750"/>
      <c r="AY68" s="6750"/>
      <c r="AZ68" s="6750"/>
      <c r="BA68" s="6751"/>
      <c r="BB68" s="6749"/>
      <c r="BC68" s="6750"/>
      <c r="BD68" s="6750"/>
      <c r="BE68" s="6750"/>
      <c r="BF68" s="6750"/>
      <c r="BG68" s="6750"/>
      <c r="BH68" s="6750"/>
      <c r="BI68" s="6751"/>
      <c r="BJ68" s="6749"/>
      <c r="BK68" s="6750"/>
      <c r="BL68" s="6750"/>
      <c r="BM68" s="6750"/>
      <c r="BN68" s="6750"/>
      <c r="BO68" s="6750"/>
      <c r="BP68" s="6750"/>
      <c r="BQ68" s="6751"/>
      <c r="BR68" s="6749"/>
      <c r="BS68" s="6750"/>
      <c r="BT68" s="6750"/>
      <c r="BU68" s="6750"/>
      <c r="BV68" s="6750"/>
      <c r="BW68" s="6750"/>
      <c r="BX68" s="6750"/>
      <c r="BY68" s="6751"/>
      <c r="BZ68" s="6751"/>
      <c r="CA68" s="2344" t="s">
        <v>518</v>
      </c>
      <c r="CB68" s="2211"/>
      <c r="CC68" s="2345"/>
      <c r="CD68" s="2345" t="str">
        <f t="shared" si="1"/>
        <v>Территория действия тарифа</v>
      </c>
      <c r="CE68" s="2345"/>
      <c r="CF68" s="2345"/>
    </row>
    <row r="69" spans="1:84" s="5391" customFormat="1" ht="23.25" customHeight="1">
      <c r="A69" s="2335"/>
      <c r="B69" s="2335"/>
      <c r="C69" s="2335" t="s">
        <v>286</v>
      </c>
      <c r="D69" s="2335"/>
      <c r="E69" s="6764"/>
      <c r="F69" s="6764" t="s">
        <v>98</v>
      </c>
      <c r="G69" s="6763">
        <v>1</v>
      </c>
      <c r="H69" s="2335"/>
      <c r="I69" s="2335"/>
      <c r="J69" s="2335"/>
      <c r="K69" s="2335"/>
      <c r="L69" s="2336"/>
      <c r="M69" s="2337"/>
      <c r="N69" s="2337"/>
      <c r="O69" s="2337"/>
      <c r="P69" s="2347"/>
      <c r="Q69" s="2339"/>
      <c r="R69" s="2340"/>
      <c r="S69" s="2341" t="str">
        <f>INDEX(PT_DIFFERENTIATION_NUM_CS,MATCH(C69,PT_DIFFERENTIATION_CS_ID,0))</f>
        <v>1.3.1</v>
      </c>
      <c r="T69" s="2348" t="s">
        <v>519</v>
      </c>
      <c r="U69" s="2343"/>
      <c r="V69" s="6749"/>
      <c r="W69" s="6750"/>
      <c r="X69" s="6750"/>
      <c r="Y69" s="6750"/>
      <c r="Z69" s="6750"/>
      <c r="AA69" s="6750"/>
      <c r="AB69" s="6750"/>
      <c r="AC69" s="6751"/>
      <c r="AD69" s="6749" t="str">
        <f>INDEX(PT_DIFFERENTIATION_CS,MATCH(C69,PT_DIFFERENTIATION_CS_ID,0))</f>
        <v>без дифференциации</v>
      </c>
      <c r="AE69" s="6750"/>
      <c r="AF69" s="6750"/>
      <c r="AG69" s="6750"/>
      <c r="AH69" s="6750"/>
      <c r="AI69" s="6750"/>
      <c r="AJ69" s="6750"/>
      <c r="AK69" s="6750"/>
      <c r="AL69" s="6749"/>
      <c r="AM69" s="6750"/>
      <c r="AN69" s="6750"/>
      <c r="AO69" s="6750"/>
      <c r="AP69" s="6750"/>
      <c r="AQ69" s="6750"/>
      <c r="AR69" s="6750"/>
      <c r="AS69" s="6751"/>
      <c r="AT69" s="6749"/>
      <c r="AU69" s="6750"/>
      <c r="AV69" s="6750"/>
      <c r="AW69" s="6750"/>
      <c r="AX69" s="6750"/>
      <c r="AY69" s="6750"/>
      <c r="AZ69" s="6750"/>
      <c r="BA69" s="6751"/>
      <c r="BB69" s="6749"/>
      <c r="BC69" s="6750"/>
      <c r="BD69" s="6750"/>
      <c r="BE69" s="6750"/>
      <c r="BF69" s="6750"/>
      <c r="BG69" s="6750"/>
      <c r="BH69" s="6750"/>
      <c r="BI69" s="6751"/>
      <c r="BJ69" s="6749"/>
      <c r="BK69" s="6750"/>
      <c r="BL69" s="6750"/>
      <c r="BM69" s="6750"/>
      <c r="BN69" s="6750"/>
      <c r="BO69" s="6750"/>
      <c r="BP69" s="6750"/>
      <c r="BQ69" s="6751"/>
      <c r="BR69" s="6749"/>
      <c r="BS69" s="6750"/>
      <c r="BT69" s="6750"/>
      <c r="BU69" s="6750"/>
      <c r="BV69" s="6750"/>
      <c r="BW69" s="6750"/>
      <c r="BX69" s="6750"/>
      <c r="BY69" s="6751"/>
      <c r="BZ69" s="6751"/>
      <c r="CA69" s="2344" t="s">
        <v>520</v>
      </c>
      <c r="CB69" s="2211"/>
      <c r="CC69" s="2345"/>
      <c r="CD69" s="2345" t="str">
        <f t="shared" si="1"/>
        <v xml:space="preserve">Наименование системы теплоснабжения </v>
      </c>
      <c r="CE69" s="2345"/>
      <c r="CF69" s="2345"/>
    </row>
    <row r="70" spans="1:84" s="5392" customFormat="1" ht="21" customHeight="1">
      <c r="A70" s="2335"/>
      <c r="B70" s="2335"/>
      <c r="C70" s="2335"/>
      <c r="D70" s="2335" t="s">
        <v>287</v>
      </c>
      <c r="E70" s="6764"/>
      <c r="F70" s="6764" t="s">
        <v>98</v>
      </c>
      <c r="G70" s="6764"/>
      <c r="H70" s="6763">
        <v>1</v>
      </c>
      <c r="I70" s="2335"/>
      <c r="J70" s="2335"/>
      <c r="K70" s="2335"/>
      <c r="L70" s="2336"/>
      <c r="M70" s="2337"/>
      <c r="N70" s="2337"/>
      <c r="O70" s="2337"/>
      <c r="P70" s="2347"/>
      <c r="Q70" s="2339"/>
      <c r="R70" s="2340"/>
      <c r="S70" s="2341" t="str">
        <f>INDEX(PT_DIFFERENTIATION_NUM_IST_TE,MATCH(D70,PT_DIFFERENTIATION_IST_TE_ID,0))</f>
        <v>1.3.1.1</v>
      </c>
      <c r="T70" s="2350" t="s">
        <v>521</v>
      </c>
      <c r="U70" s="2343"/>
      <c r="V70" s="6749"/>
      <c r="W70" s="6750"/>
      <c r="X70" s="6750"/>
      <c r="Y70" s="6750"/>
      <c r="Z70" s="6750"/>
      <c r="AA70" s="6750"/>
      <c r="AB70" s="6750"/>
      <c r="AC70" s="6751"/>
      <c r="AD70" s="6749" t="str">
        <f>INDEX(PT_DIFFERENTIATION_IST_TE,MATCH(D70,PT_DIFFERENTIATION_IST_TE_ID,0))</f>
        <v>без дифференциации</v>
      </c>
      <c r="AE70" s="6750"/>
      <c r="AF70" s="6750"/>
      <c r="AG70" s="6750"/>
      <c r="AH70" s="6750"/>
      <c r="AI70" s="6750"/>
      <c r="AJ70" s="6750"/>
      <c r="AK70" s="6750"/>
      <c r="AL70" s="6749"/>
      <c r="AM70" s="6750"/>
      <c r="AN70" s="6750"/>
      <c r="AO70" s="6750"/>
      <c r="AP70" s="6750"/>
      <c r="AQ70" s="6750"/>
      <c r="AR70" s="6750"/>
      <c r="AS70" s="6751"/>
      <c r="AT70" s="6749"/>
      <c r="AU70" s="6750"/>
      <c r="AV70" s="6750"/>
      <c r="AW70" s="6750"/>
      <c r="AX70" s="6750"/>
      <c r="AY70" s="6750"/>
      <c r="AZ70" s="6750"/>
      <c r="BA70" s="6751"/>
      <c r="BB70" s="6749"/>
      <c r="BC70" s="6750"/>
      <c r="BD70" s="6750"/>
      <c r="BE70" s="6750"/>
      <c r="BF70" s="6750"/>
      <c r="BG70" s="6750"/>
      <c r="BH70" s="6750"/>
      <c r="BI70" s="6751"/>
      <c r="BJ70" s="6749"/>
      <c r="BK70" s="6750"/>
      <c r="BL70" s="6750"/>
      <c r="BM70" s="6750"/>
      <c r="BN70" s="6750"/>
      <c r="BO70" s="6750"/>
      <c r="BP70" s="6750"/>
      <c r="BQ70" s="6751"/>
      <c r="BR70" s="6749"/>
      <c r="BS70" s="6750"/>
      <c r="BT70" s="6750"/>
      <c r="BU70" s="6750"/>
      <c r="BV70" s="6750"/>
      <c r="BW70" s="6750"/>
      <c r="BX70" s="6750"/>
      <c r="BY70" s="6751"/>
      <c r="BZ70" s="6751"/>
      <c r="CA70" s="2344" t="s">
        <v>522</v>
      </c>
      <c r="CB70" s="2211"/>
      <c r="CC70" s="2345"/>
      <c r="CD70" s="2345" t="str">
        <f t="shared" si="1"/>
        <v xml:space="preserve">Источник тепловой энергии  </v>
      </c>
      <c r="CE70" s="2345"/>
      <c r="CF70" s="2345"/>
    </row>
    <row r="71" spans="1:84" s="5393" customFormat="1" ht="14.25" customHeight="1">
      <c r="A71" s="2335"/>
      <c r="B71" s="2335"/>
      <c r="C71" s="2335"/>
      <c r="D71" s="2335"/>
      <c r="E71" s="6764"/>
      <c r="F71" s="6764" t="s">
        <v>98</v>
      </c>
      <c r="G71" s="6764"/>
      <c r="H71" s="6764"/>
      <c r="I71" s="6761" t="str">
        <f>S70&amp;".1"</f>
        <v>1.3.1.1.1</v>
      </c>
      <c r="J71" s="2335"/>
      <c r="K71" s="2335"/>
      <c r="L71" s="2336" t="s">
        <v>523</v>
      </c>
      <c r="M71" s="2205"/>
      <c r="N71" s="2352"/>
      <c r="O71" s="2352"/>
      <c r="P71" s="6762">
        <v>1</v>
      </c>
      <c r="Q71" s="2353"/>
      <c r="R71" s="2354"/>
      <c r="S71" s="5254"/>
      <c r="T71" s="5255"/>
      <c r="U71" s="5256"/>
      <c r="V71" s="6790"/>
      <c r="W71" s="6791"/>
      <c r="X71" s="6791"/>
      <c r="Y71" s="6791"/>
      <c r="Z71" s="6791"/>
      <c r="AA71" s="6791"/>
      <c r="AB71" s="6791"/>
      <c r="AC71" s="6792"/>
      <c r="AD71" s="6790"/>
      <c r="AE71" s="6791"/>
      <c r="AF71" s="6791"/>
      <c r="AG71" s="6791"/>
      <c r="AH71" s="6791"/>
      <c r="AI71" s="6791"/>
      <c r="AJ71" s="6791"/>
      <c r="AK71" s="6791"/>
      <c r="AL71" s="6790"/>
      <c r="AM71" s="6791"/>
      <c r="AN71" s="6791"/>
      <c r="AO71" s="6791"/>
      <c r="AP71" s="6791"/>
      <c r="AQ71" s="6791"/>
      <c r="AR71" s="6791"/>
      <c r="AS71" s="6792"/>
      <c r="AT71" s="6790"/>
      <c r="AU71" s="6791"/>
      <c r="AV71" s="6791"/>
      <c r="AW71" s="6791"/>
      <c r="AX71" s="6791"/>
      <c r="AY71" s="6791"/>
      <c r="AZ71" s="6791"/>
      <c r="BA71" s="6792"/>
      <c r="BB71" s="6790"/>
      <c r="BC71" s="6791"/>
      <c r="BD71" s="6791"/>
      <c r="BE71" s="6791"/>
      <c r="BF71" s="6791"/>
      <c r="BG71" s="6791"/>
      <c r="BH71" s="6791"/>
      <c r="BI71" s="6792"/>
      <c r="BJ71" s="6790"/>
      <c r="BK71" s="6791"/>
      <c r="BL71" s="6791"/>
      <c r="BM71" s="6791"/>
      <c r="BN71" s="6791"/>
      <c r="BO71" s="6791"/>
      <c r="BP71" s="6791"/>
      <c r="BQ71" s="6792"/>
      <c r="BR71" s="6790"/>
      <c r="BS71" s="6791"/>
      <c r="BT71" s="6791"/>
      <c r="BU71" s="6791"/>
      <c r="BV71" s="6791"/>
      <c r="BW71" s="6791"/>
      <c r="BX71" s="6791"/>
      <c r="BY71" s="6792"/>
      <c r="BZ71" s="6792"/>
      <c r="CA71" s="5257"/>
      <c r="CB71" s="2211"/>
      <c r="CC71" s="2345"/>
      <c r="CD71" s="2345" t="str">
        <f t="shared" si="1"/>
        <v/>
      </c>
      <c r="CE71" s="2345"/>
      <c r="CF71" s="2345"/>
    </row>
    <row r="72" spans="1:84" s="5394" customFormat="1" ht="21" customHeight="1">
      <c r="A72" s="2335"/>
      <c r="B72" s="2335"/>
      <c r="C72" s="2335"/>
      <c r="D72" s="2335"/>
      <c r="E72" s="6764"/>
      <c r="F72" s="6764" t="s">
        <v>98</v>
      </c>
      <c r="G72" s="6764"/>
      <c r="H72" s="6764"/>
      <c r="I72" s="6784"/>
      <c r="J72" s="6761" t="str">
        <f>I71&amp;".1"</f>
        <v>1.3.1.1.1.1</v>
      </c>
      <c r="K72" s="2335"/>
      <c r="L72" s="2336" t="s">
        <v>526</v>
      </c>
      <c r="M72" s="2205"/>
      <c r="N72" s="2205"/>
      <c r="O72" s="2352"/>
      <c r="P72" s="6762"/>
      <c r="Q72" s="6762">
        <v>1</v>
      </c>
      <c r="R72" s="2357"/>
      <c r="S72" s="2341" t="str">
        <f>$J72</f>
        <v>1.3.1.1.1.1</v>
      </c>
      <c r="T72" s="2358" t="s">
        <v>527</v>
      </c>
      <c r="U72" s="2343"/>
      <c r="V72" s="6752"/>
      <c r="W72" s="6753"/>
      <c r="X72" s="6753"/>
      <c r="Y72" s="6753"/>
      <c r="Z72" s="6753"/>
      <c r="AA72" s="6753"/>
      <c r="AB72" s="6753"/>
      <c r="AC72" s="6754"/>
      <c r="AD72" s="6752" t="s">
        <v>566</v>
      </c>
      <c r="AE72" s="6753"/>
      <c r="AF72" s="6753"/>
      <c r="AG72" s="6753"/>
      <c r="AH72" s="6753"/>
      <c r="AI72" s="6753"/>
      <c r="AJ72" s="6753"/>
      <c r="AK72" s="6753"/>
      <c r="AL72" s="6752"/>
      <c r="AM72" s="6753"/>
      <c r="AN72" s="6753"/>
      <c r="AO72" s="6753"/>
      <c r="AP72" s="6753"/>
      <c r="AQ72" s="6753"/>
      <c r="AR72" s="6753"/>
      <c r="AS72" s="6754"/>
      <c r="AT72" s="6752"/>
      <c r="AU72" s="6753"/>
      <c r="AV72" s="6753"/>
      <c r="AW72" s="6753"/>
      <c r="AX72" s="6753"/>
      <c r="AY72" s="6753"/>
      <c r="AZ72" s="6753"/>
      <c r="BA72" s="6754"/>
      <c r="BB72" s="6752"/>
      <c r="BC72" s="6753"/>
      <c r="BD72" s="6753"/>
      <c r="BE72" s="6753"/>
      <c r="BF72" s="6753"/>
      <c r="BG72" s="6753"/>
      <c r="BH72" s="6753"/>
      <c r="BI72" s="6754"/>
      <c r="BJ72" s="6752"/>
      <c r="BK72" s="6753"/>
      <c r="BL72" s="6753"/>
      <c r="BM72" s="6753"/>
      <c r="BN72" s="6753"/>
      <c r="BO72" s="6753"/>
      <c r="BP72" s="6753"/>
      <c r="BQ72" s="6754"/>
      <c r="BR72" s="6752"/>
      <c r="BS72" s="6753"/>
      <c r="BT72" s="6753"/>
      <c r="BU72" s="6753"/>
      <c r="BV72" s="6753"/>
      <c r="BW72" s="6753"/>
      <c r="BX72" s="6753"/>
      <c r="BY72" s="6754"/>
      <c r="BZ72" s="6754"/>
      <c r="CA72" s="2344" t="s">
        <v>528</v>
      </c>
      <c r="CB72" s="2211"/>
      <c r="CC72" s="2345"/>
      <c r="CD72" s="2345" t="str">
        <f t="shared" si="1"/>
        <v>Группа потребителей</v>
      </c>
      <c r="CE72" s="2345"/>
      <c r="CF72" s="2345"/>
    </row>
    <row r="73" spans="1:84" s="5395" customFormat="1" ht="21" customHeight="1">
      <c r="A73" s="2335"/>
      <c r="B73" s="2335"/>
      <c r="C73" s="2335"/>
      <c r="D73" s="2335"/>
      <c r="E73" s="6764"/>
      <c r="F73" s="6764" t="s">
        <v>98</v>
      </c>
      <c r="G73" s="6764"/>
      <c r="H73" s="6764"/>
      <c r="I73" s="6784"/>
      <c r="J73" s="6784"/>
      <c r="K73" s="6761" t="str">
        <f>J72&amp;".1"</f>
        <v>1.3.1.1.1.1.1</v>
      </c>
      <c r="L73" s="2336" t="s">
        <v>529</v>
      </c>
      <c r="M73" s="2205"/>
      <c r="N73" s="2205"/>
      <c r="O73" s="2205"/>
      <c r="P73" s="6762"/>
      <c r="Q73" s="6762"/>
      <c r="R73" s="2357">
        <v>1</v>
      </c>
      <c r="S73" s="2341" t="str">
        <f>$K73</f>
        <v>1.3.1.1.1.1.1</v>
      </c>
      <c r="T73" s="2360" t="s">
        <v>567</v>
      </c>
      <c r="U73" s="2343"/>
      <c r="V73" s="2763"/>
      <c r="W73" s="2763"/>
      <c r="X73" s="2763"/>
      <c r="Y73" s="2764"/>
      <c r="Z73" s="6768"/>
      <c r="AA73" s="6769" t="s">
        <v>61</v>
      </c>
      <c r="AB73" s="6768"/>
      <c r="AC73" s="6769" t="s">
        <v>61</v>
      </c>
      <c r="AD73" s="2078">
        <v>28.45</v>
      </c>
      <c r="AE73" s="2079"/>
      <c r="AF73" s="2078"/>
      <c r="AG73" s="2080"/>
      <c r="AH73" s="6766">
        <v>45292.736840277779</v>
      </c>
      <c r="AI73" s="6610" t="s">
        <v>61</v>
      </c>
      <c r="AJ73" s="6766">
        <v>45838.736909722225</v>
      </c>
      <c r="AK73" s="6610" t="s">
        <v>61</v>
      </c>
      <c r="AL73" s="2078">
        <v>29.35</v>
      </c>
      <c r="AM73" s="2079"/>
      <c r="AN73" s="2078"/>
      <c r="AO73" s="2080"/>
      <c r="AP73" s="6766">
        <v>45839.737928240742</v>
      </c>
      <c r="AQ73" s="6610" t="s">
        <v>61</v>
      </c>
      <c r="AR73" s="6766">
        <v>46203.73809027778</v>
      </c>
      <c r="AS73" s="6610" t="s">
        <v>61</v>
      </c>
      <c r="AT73" s="2078">
        <v>30.22</v>
      </c>
      <c r="AU73" s="2079"/>
      <c r="AV73" s="2078"/>
      <c r="AW73" s="2080"/>
      <c r="AX73" s="6766">
        <v>46204.738356481481</v>
      </c>
      <c r="AY73" s="6610" t="s">
        <v>61</v>
      </c>
      <c r="AZ73" s="6766">
        <v>46568.738495370373</v>
      </c>
      <c r="BA73" s="6610" t="s">
        <v>61</v>
      </c>
      <c r="BB73" s="2078">
        <v>31.12</v>
      </c>
      <c r="BC73" s="2079"/>
      <c r="BD73" s="2078"/>
      <c r="BE73" s="2080"/>
      <c r="BF73" s="6766">
        <v>46569.73877314815</v>
      </c>
      <c r="BG73" s="6610" t="s">
        <v>61</v>
      </c>
      <c r="BH73" s="6766">
        <v>46934.738969907405</v>
      </c>
      <c r="BI73" s="6610" t="s">
        <v>61</v>
      </c>
      <c r="BJ73" s="2078">
        <v>32.04</v>
      </c>
      <c r="BK73" s="2079"/>
      <c r="BL73" s="2078"/>
      <c r="BM73" s="2080"/>
      <c r="BN73" s="6766">
        <v>46935.739201388889</v>
      </c>
      <c r="BO73" s="6610" t="s">
        <v>61</v>
      </c>
      <c r="BP73" s="6766">
        <v>47118.739340277774</v>
      </c>
      <c r="BQ73" s="6610" t="s">
        <v>56</v>
      </c>
      <c r="BR73" s="2763"/>
      <c r="BS73" s="2763"/>
      <c r="BT73" s="2763"/>
      <c r="BU73" s="2764"/>
      <c r="BV73" s="6768"/>
      <c r="BW73" s="6769" t="s">
        <v>61</v>
      </c>
      <c r="BX73" s="6768"/>
      <c r="BY73" s="6769" t="s">
        <v>61</v>
      </c>
      <c r="BZ73" s="2079"/>
      <c r="CA73" s="6758" t="s">
        <v>530</v>
      </c>
      <c r="CB73" s="2211" t="e">
        <f ca="1">STRCHECKDATE(V74:BZ74)</f>
        <v>#NAME?</v>
      </c>
      <c r="CC73" s="2345"/>
      <c r="CD73" s="2345" t="str">
        <f t="shared" si="1"/>
        <v>вода</v>
      </c>
      <c r="CE73" s="2345"/>
      <c r="CF73" s="2345"/>
    </row>
    <row r="74" spans="1:84" s="5396" customFormat="1" ht="0.75" customHeight="1">
      <c r="A74" s="2335"/>
      <c r="B74" s="2335"/>
      <c r="C74" s="2335"/>
      <c r="D74" s="2335"/>
      <c r="E74" s="6764"/>
      <c r="F74" s="6764" t="s">
        <v>98</v>
      </c>
      <c r="G74" s="6764"/>
      <c r="H74" s="6764"/>
      <c r="I74" s="6784"/>
      <c r="J74" s="6784"/>
      <c r="K74" s="6761"/>
      <c r="L74" s="2336"/>
      <c r="M74" s="2205"/>
      <c r="N74" s="2205"/>
      <c r="O74" s="2205"/>
      <c r="P74" s="6762"/>
      <c r="Q74" s="6762"/>
      <c r="R74" s="2357"/>
      <c r="S74" s="2362"/>
      <c r="T74" s="2343"/>
      <c r="U74" s="2343"/>
      <c r="V74" s="2763"/>
      <c r="W74" s="2763"/>
      <c r="X74" s="2763"/>
      <c r="Y74" s="2082" t="str">
        <f>Z73&amp;"-"&amp;AB73</f>
        <v>-</v>
      </c>
      <c r="Z74" s="6769"/>
      <c r="AA74" s="6769"/>
      <c r="AB74" s="6769"/>
      <c r="AC74" s="6769"/>
      <c r="AD74" s="2079"/>
      <c r="AE74" s="2079"/>
      <c r="AF74" s="2079"/>
      <c r="AG74" s="2082" t="str">
        <f>AH73&amp;"-"&amp;AJ73</f>
        <v>45292,7368402778-45838,7369097222</v>
      </c>
      <c r="AH74" s="6767"/>
      <c r="AI74" s="6610"/>
      <c r="AJ74" s="6767"/>
      <c r="AK74" s="6610"/>
      <c r="AL74" s="2079"/>
      <c r="AM74" s="2079"/>
      <c r="AN74" s="2079"/>
      <c r="AO74" s="2082" t="str">
        <f>AP73&amp;"-"&amp;AR73</f>
        <v>45839,7379282407-46203,7380902778</v>
      </c>
      <c r="AP74" s="6767"/>
      <c r="AQ74" s="6610"/>
      <c r="AR74" s="6767"/>
      <c r="AS74" s="6610"/>
      <c r="AT74" s="2079"/>
      <c r="AU74" s="2079"/>
      <c r="AV74" s="2079"/>
      <c r="AW74" s="2082" t="str">
        <f>AX73&amp;"-"&amp;AZ73</f>
        <v>46204,7383564815-46568,7384953703</v>
      </c>
      <c r="AX74" s="6767"/>
      <c r="AY74" s="6610"/>
      <c r="AZ74" s="6767"/>
      <c r="BA74" s="6610"/>
      <c r="BB74" s="2079"/>
      <c r="BC74" s="2079"/>
      <c r="BD74" s="2079"/>
      <c r="BE74" s="2082" t="str">
        <f>BF73&amp;"-"&amp;BH73</f>
        <v>46569,7387731482-46934,7389699074</v>
      </c>
      <c r="BF74" s="6767"/>
      <c r="BG74" s="6610"/>
      <c r="BH74" s="6767"/>
      <c r="BI74" s="6610"/>
      <c r="BJ74" s="2079"/>
      <c r="BK74" s="2079"/>
      <c r="BL74" s="2079"/>
      <c r="BM74" s="2082" t="str">
        <f>BN73&amp;"-"&amp;BP73</f>
        <v>46935,7392013889-47118,7393402778</v>
      </c>
      <c r="BN74" s="6767"/>
      <c r="BO74" s="6610"/>
      <c r="BP74" s="6767"/>
      <c r="BQ74" s="6610"/>
      <c r="BR74" s="2763"/>
      <c r="BS74" s="2763"/>
      <c r="BT74" s="2763"/>
      <c r="BU74" s="2082" t="str">
        <f>BV73&amp;"-"&amp;BX73</f>
        <v>-</v>
      </c>
      <c r="BV74" s="6769"/>
      <c r="BW74" s="6769"/>
      <c r="BX74" s="6769"/>
      <c r="BY74" s="6769"/>
      <c r="BZ74" s="2079"/>
      <c r="CA74" s="6759"/>
      <c r="CB74" s="2211"/>
      <c r="CC74" s="2345"/>
      <c r="CD74" s="2345" t="str">
        <f t="shared" si="1"/>
        <v/>
      </c>
      <c r="CE74" s="2345"/>
      <c r="CF74" s="2345"/>
    </row>
    <row r="75" spans="1:84" s="5397" customFormat="1" ht="15" customHeight="1">
      <c r="A75" s="2335"/>
      <c r="B75" s="2335"/>
      <c r="C75" s="2335"/>
      <c r="D75" s="2335"/>
      <c r="E75" s="6764"/>
      <c r="F75" s="6764" t="s">
        <v>98</v>
      </c>
      <c r="G75" s="6764"/>
      <c r="H75" s="6764"/>
      <c r="I75" s="6784"/>
      <c r="J75" s="6761"/>
      <c r="K75" s="2335"/>
      <c r="L75" s="2336"/>
      <c r="M75" s="2205"/>
      <c r="N75" s="2205"/>
      <c r="O75" s="2352"/>
      <c r="P75" s="6762"/>
      <c r="Q75" s="6762"/>
      <c r="R75" s="2354"/>
      <c r="S75" s="5398"/>
      <c r="T75" s="5399" t="s">
        <v>531</v>
      </c>
      <c r="U75" s="5400"/>
      <c r="V75" s="5401"/>
      <c r="W75" s="5402"/>
      <c r="X75" s="5403"/>
      <c r="Y75" s="5404"/>
      <c r="Z75" s="5405"/>
      <c r="AA75" s="5406"/>
      <c r="AB75" s="5407"/>
      <c r="AC75" s="5408"/>
      <c r="AD75" s="5409"/>
      <c r="AE75" s="5410"/>
      <c r="AF75" s="5411"/>
      <c r="AG75" s="5412"/>
      <c r="AH75" s="5413"/>
      <c r="AI75" s="5414"/>
      <c r="AJ75" s="5415"/>
      <c r="AK75" s="5416"/>
      <c r="AL75" s="5417"/>
      <c r="AM75" s="5418"/>
      <c r="AN75" s="5419"/>
      <c r="AO75" s="5420"/>
      <c r="AP75" s="5421"/>
      <c r="AQ75" s="5422"/>
      <c r="AR75" s="5423"/>
      <c r="AS75" s="5424"/>
      <c r="AT75" s="5425"/>
      <c r="AU75" s="5426"/>
      <c r="AV75" s="5427"/>
      <c r="AW75" s="5428"/>
      <c r="AX75" s="5429"/>
      <c r="AY75" s="5430"/>
      <c r="AZ75" s="5431"/>
      <c r="BA75" s="5432"/>
      <c r="BB75" s="5433"/>
      <c r="BC75" s="5434"/>
      <c r="BD75" s="5435"/>
      <c r="BE75" s="5436"/>
      <c r="BF75" s="5437"/>
      <c r="BG75" s="5438"/>
      <c r="BH75" s="5439"/>
      <c r="BI75" s="5440"/>
      <c r="BJ75" s="5441"/>
      <c r="BK75" s="5442"/>
      <c r="BL75" s="5443"/>
      <c r="BM75" s="5444"/>
      <c r="BN75" s="5445"/>
      <c r="BO75" s="5446"/>
      <c r="BP75" s="5447"/>
      <c r="BQ75" s="5448"/>
      <c r="BR75" s="5449"/>
      <c r="BS75" s="5450"/>
      <c r="BT75" s="5451"/>
      <c r="BU75" s="5452"/>
      <c r="BV75" s="5453"/>
      <c r="BW75" s="5454"/>
      <c r="BX75" s="5455"/>
      <c r="BY75" s="5456"/>
      <c r="BZ75" s="5457"/>
      <c r="CA75" s="6760"/>
      <c r="CB75" s="2211"/>
      <c r="CC75" s="2345"/>
      <c r="CD75" s="2345" t="str">
        <f t="shared" ref="CD75:CD93" si="2">IF(T75="","",T75)</f>
        <v>Добавить вид теплоносителя (параметры теплоносителя)</v>
      </c>
      <c r="CE75" s="2345"/>
      <c r="CF75" s="2345"/>
    </row>
    <row r="76" spans="1:84" s="5458" customFormat="1" ht="15" customHeight="1">
      <c r="A76" s="2335"/>
      <c r="B76" s="2335"/>
      <c r="C76" s="2335"/>
      <c r="D76" s="2335"/>
      <c r="E76" s="6764"/>
      <c r="F76" s="6764" t="s">
        <v>98</v>
      </c>
      <c r="G76" s="6764"/>
      <c r="H76" s="6764"/>
      <c r="I76" s="6761"/>
      <c r="J76" s="2335"/>
      <c r="K76" s="2335"/>
      <c r="L76" s="2336"/>
      <c r="M76" s="2205"/>
      <c r="N76" s="2352"/>
      <c r="O76" s="2352"/>
      <c r="P76" s="6762"/>
      <c r="Q76" s="2353"/>
      <c r="R76" s="2354"/>
      <c r="S76" s="5459"/>
      <c r="T76" s="5460" t="s">
        <v>532</v>
      </c>
      <c r="U76" s="5461"/>
      <c r="V76" s="5462"/>
      <c r="W76" s="5463"/>
      <c r="X76" s="5464"/>
      <c r="Y76" s="5465"/>
      <c r="Z76" s="5466"/>
      <c r="AA76" s="5467"/>
      <c r="AB76" s="5468"/>
      <c r="AC76" s="5469"/>
      <c r="AD76" s="5470"/>
      <c r="AE76" s="5471"/>
      <c r="AF76" s="5472"/>
      <c r="AG76" s="5473"/>
      <c r="AH76" s="5474"/>
      <c r="AI76" s="5475"/>
      <c r="AJ76" s="5476"/>
      <c r="AK76" s="5477"/>
      <c r="AL76" s="5478"/>
      <c r="AM76" s="5479"/>
      <c r="AN76" s="5480"/>
      <c r="AO76" s="5481"/>
      <c r="AP76" s="5482"/>
      <c r="AQ76" s="5483"/>
      <c r="AR76" s="5484"/>
      <c r="AS76" s="5485"/>
      <c r="AT76" s="5486"/>
      <c r="AU76" s="5487"/>
      <c r="AV76" s="5488"/>
      <c r="AW76" s="5489"/>
      <c r="AX76" s="5490"/>
      <c r="AY76" s="5491"/>
      <c r="AZ76" s="5492"/>
      <c r="BA76" s="5493"/>
      <c r="BB76" s="5494"/>
      <c r="BC76" s="5495"/>
      <c r="BD76" s="5496"/>
      <c r="BE76" s="5497"/>
      <c r="BF76" s="5498"/>
      <c r="BG76" s="5499"/>
      <c r="BH76" s="5500"/>
      <c r="BI76" s="5501"/>
      <c r="BJ76" s="5502"/>
      <c r="BK76" s="5503"/>
      <c r="BL76" s="5504"/>
      <c r="BM76" s="5505"/>
      <c r="BN76" s="5506"/>
      <c r="BO76" s="5507"/>
      <c r="BP76" s="5508"/>
      <c r="BQ76" s="5509"/>
      <c r="BR76" s="5510"/>
      <c r="BS76" s="5511"/>
      <c r="BT76" s="5512"/>
      <c r="BU76" s="5513"/>
      <c r="BV76" s="5514"/>
      <c r="BW76" s="5515"/>
      <c r="BX76" s="5516"/>
      <c r="BY76" s="5517"/>
      <c r="BZ76" s="5518"/>
      <c r="CA76" s="5519"/>
      <c r="CB76" s="2211"/>
      <c r="CC76" s="2345"/>
      <c r="CD76" s="2345" t="str">
        <f t="shared" si="2"/>
        <v>Добавить группу потребителей</v>
      </c>
      <c r="CE76" s="2345"/>
      <c r="CF76" s="2345"/>
    </row>
    <row r="77" spans="1:84" s="5520" customFormat="1" ht="14.25" customHeight="1">
      <c r="A77" s="2335"/>
      <c r="B77" s="2335"/>
      <c r="C77" s="2335"/>
      <c r="D77" s="2335"/>
      <c r="E77" s="6764"/>
      <c r="F77" s="6764" t="s">
        <v>98</v>
      </c>
      <c r="G77" s="6764"/>
      <c r="H77" s="6763"/>
      <c r="I77" s="2335"/>
      <c r="J77" s="2335"/>
      <c r="K77" s="2335"/>
      <c r="L77" s="2336"/>
      <c r="M77" s="2337"/>
      <c r="N77" s="2337"/>
      <c r="O77" s="2205"/>
      <c r="P77" s="2487"/>
      <c r="Q77" s="2488"/>
      <c r="R77" s="2489"/>
      <c r="S77" s="5385"/>
      <c r="T77" s="5386"/>
      <c r="U77" s="5168"/>
      <c r="V77" s="5168"/>
      <c r="W77" s="5168"/>
      <c r="X77" s="5168"/>
      <c r="Y77" s="5168"/>
      <c r="Z77" s="5168"/>
      <c r="AA77" s="5168"/>
      <c r="AB77" s="5168"/>
      <c r="AC77" s="5168"/>
      <c r="AD77" s="5168"/>
      <c r="AE77" s="5168"/>
      <c r="AF77" s="5168"/>
      <c r="AG77" s="5168"/>
      <c r="AH77" s="5168"/>
      <c r="AI77" s="5168"/>
      <c r="AJ77" s="5168"/>
      <c r="AK77" s="5168"/>
      <c r="AL77" s="5168"/>
      <c r="AM77" s="5168"/>
      <c r="AN77" s="5168"/>
      <c r="AO77" s="5168"/>
      <c r="AP77" s="5168"/>
      <c r="AQ77" s="5168"/>
      <c r="AR77" s="5168"/>
      <c r="AS77" s="5168"/>
      <c r="AT77" s="5168"/>
      <c r="AU77" s="5168"/>
      <c r="AV77" s="5168"/>
      <c r="AW77" s="5168"/>
      <c r="AX77" s="5168"/>
      <c r="AY77" s="5168"/>
      <c r="AZ77" s="5168"/>
      <c r="BA77" s="5168"/>
      <c r="BB77" s="5168"/>
      <c r="BC77" s="5168"/>
      <c r="BD77" s="5168"/>
      <c r="BE77" s="5168"/>
      <c r="BF77" s="5168"/>
      <c r="BG77" s="5168"/>
      <c r="BH77" s="5168"/>
      <c r="BI77" s="5168"/>
      <c r="BJ77" s="5168"/>
      <c r="BK77" s="5168"/>
      <c r="BL77" s="5168"/>
      <c r="BM77" s="5168"/>
      <c r="BN77" s="5168"/>
      <c r="BO77" s="5168"/>
      <c r="BP77" s="5168"/>
      <c r="BQ77" s="5168"/>
      <c r="BR77" s="5168"/>
      <c r="BS77" s="5168"/>
      <c r="BT77" s="5168"/>
      <c r="BU77" s="5168"/>
      <c r="BV77" s="5168"/>
      <c r="BW77" s="5168"/>
      <c r="BX77" s="5168"/>
      <c r="BY77" s="5168"/>
      <c r="BZ77" s="5168"/>
      <c r="CA77" s="5387"/>
      <c r="CB77" s="2211"/>
      <c r="CC77" s="2345"/>
      <c r="CD77" s="2345" t="str">
        <f t="shared" si="2"/>
        <v/>
      </c>
      <c r="CE77" s="2345"/>
      <c r="CF77" s="2345"/>
    </row>
    <row r="78" spans="1:84" s="5521" customFormat="1" ht="0.75" customHeight="1">
      <c r="A78" s="2552"/>
      <c r="B78" s="2552"/>
      <c r="C78" s="2552"/>
      <c r="D78" s="2552"/>
      <c r="E78" s="6764"/>
      <c r="F78" s="6764" t="s">
        <v>98</v>
      </c>
      <c r="G78" s="6763"/>
      <c r="H78" s="2552"/>
      <c r="I78" s="2552"/>
      <c r="J78" s="2552"/>
      <c r="K78" s="2552"/>
      <c r="L78" s="2553"/>
      <c r="M78" s="2554"/>
      <c r="N78" s="2554"/>
      <c r="O78" s="2211"/>
      <c r="P78" s="2555"/>
      <c r="Q78" s="2556"/>
      <c r="R78" s="2555"/>
      <c r="S78" s="2557"/>
      <c r="T78" s="2558" t="s">
        <v>228</v>
      </c>
      <c r="U78" s="2203"/>
      <c r="V78" s="2203"/>
      <c r="W78" s="2203"/>
      <c r="X78" s="2203"/>
      <c r="Y78" s="2203"/>
      <c r="Z78" s="2203"/>
      <c r="AA78" s="2203"/>
      <c r="AB78" s="2203"/>
      <c r="AC78" s="2203"/>
      <c r="AD78" s="2203"/>
      <c r="AE78" s="2203"/>
      <c r="AF78" s="2203"/>
      <c r="AG78" s="2203"/>
      <c r="AH78" s="2203"/>
      <c r="AI78" s="2203"/>
      <c r="AJ78" s="2203"/>
      <c r="AK78" s="2203"/>
      <c r="AL78" s="2203"/>
      <c r="AM78" s="2203"/>
      <c r="AN78" s="2203"/>
      <c r="AO78" s="2203"/>
      <c r="AP78" s="2203"/>
      <c r="AQ78" s="2203"/>
      <c r="AR78" s="2203"/>
      <c r="AS78" s="2203"/>
      <c r="AT78" s="2203"/>
      <c r="AU78" s="2203"/>
      <c r="AV78" s="2203"/>
      <c r="AW78" s="2203"/>
      <c r="AX78" s="2203"/>
      <c r="AY78" s="2203"/>
      <c r="AZ78" s="2203"/>
      <c r="BA78" s="2203"/>
      <c r="BB78" s="2203"/>
      <c r="BC78" s="2203"/>
      <c r="BD78" s="2203"/>
      <c r="BE78" s="2203"/>
      <c r="BF78" s="2203"/>
      <c r="BG78" s="2203"/>
      <c r="BH78" s="2203"/>
      <c r="BI78" s="2203"/>
      <c r="BJ78" s="2203"/>
      <c r="BK78" s="2203"/>
      <c r="BL78" s="2203"/>
      <c r="BM78" s="2203"/>
      <c r="BN78" s="2203"/>
      <c r="BO78" s="2203"/>
      <c r="BP78" s="2203"/>
      <c r="BQ78" s="2203"/>
      <c r="BR78" s="2203"/>
      <c r="BS78" s="2203"/>
      <c r="BT78" s="2203"/>
      <c r="BU78" s="2203"/>
      <c r="BV78" s="2203"/>
      <c r="BW78" s="2203"/>
      <c r="BX78" s="2203"/>
      <c r="BY78" s="2203"/>
      <c r="BZ78" s="2203"/>
      <c r="CA78" s="2203"/>
      <c r="CB78" s="2211"/>
      <c r="CC78" s="2345"/>
      <c r="CD78" s="2345" t="str">
        <f t="shared" si="2"/>
        <v>Добавить источник для дифференциации</v>
      </c>
      <c r="CE78" s="2345"/>
      <c r="CF78" s="2345"/>
    </row>
    <row r="79" spans="1:84" s="5522" customFormat="1" ht="0.75" customHeight="1">
      <c r="A79" s="2552"/>
      <c r="B79" s="2552"/>
      <c r="C79" s="2552"/>
      <c r="D79" s="2552"/>
      <c r="E79" s="6764"/>
      <c r="F79" s="6763" t="s">
        <v>98</v>
      </c>
      <c r="G79" s="2552"/>
      <c r="H79" s="2552"/>
      <c r="I79" s="2552"/>
      <c r="J79" s="2552"/>
      <c r="K79" s="2552"/>
      <c r="L79" s="2553"/>
      <c r="M79" s="2560"/>
      <c r="N79" s="2560"/>
      <c r="O79" s="2211"/>
      <c r="P79" s="2555"/>
      <c r="Q79" s="2556"/>
      <c r="R79" s="2555"/>
      <c r="S79" s="2561"/>
      <c r="T79" s="2562" t="s">
        <v>229</v>
      </c>
      <c r="U79" s="2204"/>
      <c r="V79" s="2204"/>
      <c r="W79" s="2204"/>
      <c r="X79" s="2204"/>
      <c r="Y79" s="2204"/>
      <c r="Z79" s="2204"/>
      <c r="AA79" s="2204"/>
      <c r="AB79" s="2204"/>
      <c r="AC79" s="2204"/>
      <c r="AD79" s="2204"/>
      <c r="AE79" s="2204"/>
      <c r="AF79" s="2204"/>
      <c r="AG79" s="2204"/>
      <c r="AH79" s="2204"/>
      <c r="AI79" s="2204"/>
      <c r="AJ79" s="2204"/>
      <c r="AK79" s="2204"/>
      <c r="AL79" s="2204"/>
      <c r="AM79" s="2204"/>
      <c r="AN79" s="2204"/>
      <c r="AO79" s="2204"/>
      <c r="AP79" s="2204"/>
      <c r="AQ79" s="2204"/>
      <c r="AR79" s="2204"/>
      <c r="AS79" s="2204"/>
      <c r="AT79" s="2204"/>
      <c r="AU79" s="2204"/>
      <c r="AV79" s="2204"/>
      <c r="AW79" s="2204"/>
      <c r="AX79" s="2204"/>
      <c r="AY79" s="2204"/>
      <c r="AZ79" s="2204"/>
      <c r="BA79" s="2204"/>
      <c r="BB79" s="2204"/>
      <c r="BC79" s="2204"/>
      <c r="BD79" s="2204"/>
      <c r="BE79" s="2204"/>
      <c r="BF79" s="2204"/>
      <c r="BG79" s="2204"/>
      <c r="BH79" s="2204"/>
      <c r="BI79" s="2204"/>
      <c r="BJ79" s="2204"/>
      <c r="BK79" s="2204"/>
      <c r="BL79" s="2204"/>
      <c r="BM79" s="2204"/>
      <c r="BN79" s="2204"/>
      <c r="BO79" s="2204"/>
      <c r="BP79" s="2204"/>
      <c r="BQ79" s="2204"/>
      <c r="BR79" s="2204"/>
      <c r="BS79" s="2204"/>
      <c r="BT79" s="2204"/>
      <c r="BU79" s="2204"/>
      <c r="BV79" s="2204"/>
      <c r="BW79" s="2204"/>
      <c r="BX79" s="2204"/>
      <c r="BY79" s="2204"/>
      <c r="BZ79" s="2204"/>
      <c r="CA79" s="2204"/>
      <c r="CB79" s="2211"/>
      <c r="CC79" s="2345"/>
      <c r="CD79" s="2345" t="str">
        <f t="shared" si="2"/>
        <v>Добавить централизованную систему для дифференциации</v>
      </c>
      <c r="CE79" s="2345"/>
      <c r="CF79" s="2345"/>
    </row>
    <row r="80" spans="1:84" s="5523" customFormat="1" ht="21" customHeight="1">
      <c r="A80" s="2335"/>
      <c r="B80" s="2335" t="s">
        <v>288</v>
      </c>
      <c r="C80" s="2335"/>
      <c r="D80" s="2335"/>
      <c r="E80" s="6764"/>
      <c r="F80" s="6763" t="s">
        <v>90</v>
      </c>
      <c r="G80" s="2335"/>
      <c r="H80" s="2335"/>
      <c r="I80" s="2335"/>
      <c r="J80" s="2335"/>
      <c r="K80" s="2335"/>
      <c r="L80" s="2336"/>
      <c r="M80" s="2337"/>
      <c r="N80" s="2337"/>
      <c r="O80" s="2337"/>
      <c r="P80" s="2338"/>
      <c r="Q80" s="2339"/>
      <c r="R80" s="2340"/>
      <c r="S80" s="2341" t="str">
        <f>INDEX(PT_DIFFERENTIATION_NUM_TER,MATCH(B80,PT_DIFFERENTIATION_TER_ID,0))</f>
        <v>1.4</v>
      </c>
      <c r="T80" s="2342" t="s">
        <v>517</v>
      </c>
      <c r="U80" s="2343"/>
      <c r="V80" s="6749"/>
      <c r="W80" s="6750"/>
      <c r="X80" s="6750"/>
      <c r="Y80" s="6750"/>
      <c r="Z80" s="6750"/>
      <c r="AA80" s="6750"/>
      <c r="AB80" s="6750"/>
      <c r="AC80" s="6751"/>
      <c r="AD80" s="6749" t="str">
        <f>INDEX(PT_DIFFERENTIATION_TER,MATCH(B80,PT_DIFFERENTIATION_TER_ID,0))</f>
        <v>Территория 13</v>
      </c>
      <c r="AE80" s="6750"/>
      <c r="AF80" s="6750"/>
      <c r="AG80" s="6750"/>
      <c r="AH80" s="6750"/>
      <c r="AI80" s="6750"/>
      <c r="AJ80" s="6750"/>
      <c r="AK80" s="6750"/>
      <c r="AL80" s="6749"/>
      <c r="AM80" s="6750"/>
      <c r="AN80" s="6750"/>
      <c r="AO80" s="6750"/>
      <c r="AP80" s="6750"/>
      <c r="AQ80" s="6750"/>
      <c r="AR80" s="6750"/>
      <c r="AS80" s="6751"/>
      <c r="AT80" s="6749"/>
      <c r="AU80" s="6750"/>
      <c r="AV80" s="6750"/>
      <c r="AW80" s="6750"/>
      <c r="AX80" s="6750"/>
      <c r="AY80" s="6750"/>
      <c r="AZ80" s="6750"/>
      <c r="BA80" s="6751"/>
      <c r="BB80" s="6749"/>
      <c r="BC80" s="6750"/>
      <c r="BD80" s="6750"/>
      <c r="BE80" s="6750"/>
      <c r="BF80" s="6750"/>
      <c r="BG80" s="6750"/>
      <c r="BH80" s="6750"/>
      <c r="BI80" s="6751"/>
      <c r="BJ80" s="6749"/>
      <c r="BK80" s="6750"/>
      <c r="BL80" s="6750"/>
      <c r="BM80" s="6750"/>
      <c r="BN80" s="6750"/>
      <c r="BO80" s="6750"/>
      <c r="BP80" s="6750"/>
      <c r="BQ80" s="6751"/>
      <c r="BR80" s="6749"/>
      <c r="BS80" s="6750"/>
      <c r="BT80" s="6750"/>
      <c r="BU80" s="6750"/>
      <c r="BV80" s="6750"/>
      <c r="BW80" s="6750"/>
      <c r="BX80" s="6750"/>
      <c r="BY80" s="6751"/>
      <c r="BZ80" s="6751"/>
      <c r="CA80" s="2344" t="s">
        <v>518</v>
      </c>
      <c r="CB80" s="2211"/>
      <c r="CC80" s="2345"/>
      <c r="CD80" s="2345" t="str">
        <f t="shared" si="2"/>
        <v>Территория действия тарифа</v>
      </c>
      <c r="CE80" s="2345"/>
      <c r="CF80" s="2345"/>
    </row>
    <row r="81" spans="1:84" s="5524" customFormat="1" ht="23.25" customHeight="1">
      <c r="A81" s="2335"/>
      <c r="B81" s="2335"/>
      <c r="C81" s="2335" t="s">
        <v>289</v>
      </c>
      <c r="D81" s="2335"/>
      <c r="E81" s="6764"/>
      <c r="F81" s="6764" t="s">
        <v>89</v>
      </c>
      <c r="G81" s="6763">
        <v>1</v>
      </c>
      <c r="H81" s="2335"/>
      <c r="I81" s="2335"/>
      <c r="J81" s="2335"/>
      <c r="K81" s="2335"/>
      <c r="L81" s="2336"/>
      <c r="M81" s="2337"/>
      <c r="N81" s="2337"/>
      <c r="O81" s="2337"/>
      <c r="P81" s="2347"/>
      <c r="Q81" s="2339"/>
      <c r="R81" s="2340"/>
      <c r="S81" s="2341" t="str">
        <f>INDEX(PT_DIFFERENTIATION_NUM_CS,MATCH(C81,PT_DIFFERENTIATION_CS_ID,0))</f>
        <v>1.4.1</v>
      </c>
      <c r="T81" s="2348" t="s">
        <v>519</v>
      </c>
      <c r="U81" s="2343"/>
      <c r="V81" s="6749"/>
      <c r="W81" s="6750"/>
      <c r="X81" s="6750"/>
      <c r="Y81" s="6750"/>
      <c r="Z81" s="6750"/>
      <c r="AA81" s="6750"/>
      <c r="AB81" s="6750"/>
      <c r="AC81" s="6751"/>
      <c r="AD81" s="6749" t="str">
        <f>INDEX(PT_DIFFERENTIATION_CS,MATCH(C81,PT_DIFFERENTIATION_CS_ID,0))</f>
        <v>без дифференциации</v>
      </c>
      <c r="AE81" s="6750"/>
      <c r="AF81" s="6750"/>
      <c r="AG81" s="6750"/>
      <c r="AH81" s="6750"/>
      <c r="AI81" s="6750"/>
      <c r="AJ81" s="6750"/>
      <c r="AK81" s="6750"/>
      <c r="AL81" s="6749"/>
      <c r="AM81" s="6750"/>
      <c r="AN81" s="6750"/>
      <c r="AO81" s="6750"/>
      <c r="AP81" s="6750"/>
      <c r="AQ81" s="6750"/>
      <c r="AR81" s="6750"/>
      <c r="AS81" s="6751"/>
      <c r="AT81" s="6749"/>
      <c r="AU81" s="6750"/>
      <c r="AV81" s="6750"/>
      <c r="AW81" s="6750"/>
      <c r="AX81" s="6750"/>
      <c r="AY81" s="6750"/>
      <c r="AZ81" s="6750"/>
      <c r="BA81" s="6751"/>
      <c r="BB81" s="6749"/>
      <c r="BC81" s="6750"/>
      <c r="BD81" s="6750"/>
      <c r="BE81" s="6750"/>
      <c r="BF81" s="6750"/>
      <c r="BG81" s="6750"/>
      <c r="BH81" s="6750"/>
      <c r="BI81" s="6751"/>
      <c r="BJ81" s="6749"/>
      <c r="BK81" s="6750"/>
      <c r="BL81" s="6750"/>
      <c r="BM81" s="6750"/>
      <c r="BN81" s="6750"/>
      <c r="BO81" s="6750"/>
      <c r="BP81" s="6750"/>
      <c r="BQ81" s="6751"/>
      <c r="BR81" s="6749"/>
      <c r="BS81" s="6750"/>
      <c r="BT81" s="6750"/>
      <c r="BU81" s="6750"/>
      <c r="BV81" s="6750"/>
      <c r="BW81" s="6750"/>
      <c r="BX81" s="6750"/>
      <c r="BY81" s="6751"/>
      <c r="BZ81" s="6751"/>
      <c r="CA81" s="2344" t="s">
        <v>520</v>
      </c>
      <c r="CB81" s="2211"/>
      <c r="CC81" s="2345"/>
      <c r="CD81" s="2345" t="str">
        <f t="shared" si="2"/>
        <v xml:space="preserve">Наименование системы теплоснабжения </v>
      </c>
      <c r="CE81" s="2345"/>
      <c r="CF81" s="2345"/>
    </row>
    <row r="82" spans="1:84" s="5525" customFormat="1" ht="21" customHeight="1">
      <c r="A82" s="2335"/>
      <c r="B82" s="2335"/>
      <c r="C82" s="2335"/>
      <c r="D82" s="2335" t="s">
        <v>290</v>
      </c>
      <c r="E82" s="6764"/>
      <c r="F82" s="6764" t="s">
        <v>89</v>
      </c>
      <c r="G82" s="6764"/>
      <c r="H82" s="6763">
        <v>1</v>
      </c>
      <c r="I82" s="2335"/>
      <c r="J82" s="2335"/>
      <c r="K82" s="2335"/>
      <c r="L82" s="2336"/>
      <c r="M82" s="2337"/>
      <c r="N82" s="2337"/>
      <c r="O82" s="2337"/>
      <c r="P82" s="2347"/>
      <c r="Q82" s="2339"/>
      <c r="R82" s="2340"/>
      <c r="S82" s="2341" t="str">
        <f>INDEX(PT_DIFFERENTIATION_NUM_IST_TE,MATCH(D82,PT_DIFFERENTIATION_IST_TE_ID,0))</f>
        <v>1.4.1.1</v>
      </c>
      <c r="T82" s="2350" t="s">
        <v>521</v>
      </c>
      <c r="U82" s="2343"/>
      <c r="V82" s="6749"/>
      <c r="W82" s="6750"/>
      <c r="X82" s="6750"/>
      <c r="Y82" s="6750"/>
      <c r="Z82" s="6750"/>
      <c r="AA82" s="6750"/>
      <c r="AB82" s="6750"/>
      <c r="AC82" s="6751"/>
      <c r="AD82" s="6749" t="str">
        <f>INDEX(PT_DIFFERENTIATION_IST_TE,MATCH(D82,PT_DIFFERENTIATION_IST_TE_ID,0))</f>
        <v>без дифференциации</v>
      </c>
      <c r="AE82" s="6750"/>
      <c r="AF82" s="6750"/>
      <c r="AG82" s="6750"/>
      <c r="AH82" s="6750"/>
      <c r="AI82" s="6750"/>
      <c r="AJ82" s="6750"/>
      <c r="AK82" s="6750"/>
      <c r="AL82" s="6749"/>
      <c r="AM82" s="6750"/>
      <c r="AN82" s="6750"/>
      <c r="AO82" s="6750"/>
      <c r="AP82" s="6750"/>
      <c r="AQ82" s="6750"/>
      <c r="AR82" s="6750"/>
      <c r="AS82" s="6751"/>
      <c r="AT82" s="6749"/>
      <c r="AU82" s="6750"/>
      <c r="AV82" s="6750"/>
      <c r="AW82" s="6750"/>
      <c r="AX82" s="6750"/>
      <c r="AY82" s="6750"/>
      <c r="AZ82" s="6750"/>
      <c r="BA82" s="6751"/>
      <c r="BB82" s="6749"/>
      <c r="BC82" s="6750"/>
      <c r="BD82" s="6750"/>
      <c r="BE82" s="6750"/>
      <c r="BF82" s="6750"/>
      <c r="BG82" s="6750"/>
      <c r="BH82" s="6750"/>
      <c r="BI82" s="6751"/>
      <c r="BJ82" s="6749"/>
      <c r="BK82" s="6750"/>
      <c r="BL82" s="6750"/>
      <c r="BM82" s="6750"/>
      <c r="BN82" s="6750"/>
      <c r="BO82" s="6750"/>
      <c r="BP82" s="6750"/>
      <c r="BQ82" s="6751"/>
      <c r="BR82" s="6749"/>
      <c r="BS82" s="6750"/>
      <c r="BT82" s="6750"/>
      <c r="BU82" s="6750"/>
      <c r="BV82" s="6750"/>
      <c r="BW82" s="6750"/>
      <c r="BX82" s="6750"/>
      <c r="BY82" s="6751"/>
      <c r="BZ82" s="6751"/>
      <c r="CA82" s="2344" t="s">
        <v>522</v>
      </c>
      <c r="CB82" s="2211"/>
      <c r="CC82" s="2345"/>
      <c r="CD82" s="2345" t="str">
        <f t="shared" si="2"/>
        <v xml:space="preserve">Источник тепловой энергии  </v>
      </c>
      <c r="CE82" s="2345"/>
      <c r="CF82" s="2345"/>
    </row>
    <row r="83" spans="1:84" s="5526" customFormat="1" ht="14.25" customHeight="1">
      <c r="A83" s="2335"/>
      <c r="B83" s="2335"/>
      <c r="C83" s="2335"/>
      <c r="D83" s="2335"/>
      <c r="E83" s="6764"/>
      <c r="F83" s="6764" t="s">
        <v>89</v>
      </c>
      <c r="G83" s="6764"/>
      <c r="H83" s="6764"/>
      <c r="I83" s="6761" t="str">
        <f>S82&amp;".1"</f>
        <v>1.4.1.1.1</v>
      </c>
      <c r="J83" s="2335"/>
      <c r="K83" s="2335"/>
      <c r="L83" s="2336" t="s">
        <v>523</v>
      </c>
      <c r="M83" s="2205"/>
      <c r="N83" s="2352"/>
      <c r="O83" s="2352"/>
      <c r="P83" s="6762">
        <v>1</v>
      </c>
      <c r="Q83" s="2353"/>
      <c r="R83" s="2354"/>
      <c r="S83" s="5254"/>
      <c r="T83" s="5255"/>
      <c r="U83" s="5256"/>
      <c r="V83" s="6790"/>
      <c r="W83" s="6791"/>
      <c r="X83" s="6791"/>
      <c r="Y83" s="6791"/>
      <c r="Z83" s="6791"/>
      <c r="AA83" s="6791"/>
      <c r="AB83" s="6791"/>
      <c r="AC83" s="6792"/>
      <c r="AD83" s="6790"/>
      <c r="AE83" s="6791"/>
      <c r="AF83" s="6791"/>
      <c r="AG83" s="6791"/>
      <c r="AH83" s="6791"/>
      <c r="AI83" s="6791"/>
      <c r="AJ83" s="6791"/>
      <c r="AK83" s="6791"/>
      <c r="AL83" s="6790"/>
      <c r="AM83" s="6791"/>
      <c r="AN83" s="6791"/>
      <c r="AO83" s="6791"/>
      <c r="AP83" s="6791"/>
      <c r="AQ83" s="6791"/>
      <c r="AR83" s="6791"/>
      <c r="AS83" s="6792"/>
      <c r="AT83" s="6790"/>
      <c r="AU83" s="6791"/>
      <c r="AV83" s="6791"/>
      <c r="AW83" s="6791"/>
      <c r="AX83" s="6791"/>
      <c r="AY83" s="6791"/>
      <c r="AZ83" s="6791"/>
      <c r="BA83" s="6792"/>
      <c r="BB83" s="6790"/>
      <c r="BC83" s="6791"/>
      <c r="BD83" s="6791"/>
      <c r="BE83" s="6791"/>
      <c r="BF83" s="6791"/>
      <c r="BG83" s="6791"/>
      <c r="BH83" s="6791"/>
      <c r="BI83" s="6792"/>
      <c r="BJ83" s="6790"/>
      <c r="BK83" s="6791"/>
      <c r="BL83" s="6791"/>
      <c r="BM83" s="6791"/>
      <c r="BN83" s="6791"/>
      <c r="BO83" s="6791"/>
      <c r="BP83" s="6791"/>
      <c r="BQ83" s="6792"/>
      <c r="BR83" s="6790"/>
      <c r="BS83" s="6791"/>
      <c r="BT83" s="6791"/>
      <c r="BU83" s="6791"/>
      <c r="BV83" s="6791"/>
      <c r="BW83" s="6791"/>
      <c r="BX83" s="6791"/>
      <c r="BY83" s="6792"/>
      <c r="BZ83" s="6792"/>
      <c r="CA83" s="5257"/>
      <c r="CB83" s="2211"/>
      <c r="CC83" s="2345"/>
      <c r="CD83" s="2345" t="str">
        <f t="shared" si="2"/>
        <v/>
      </c>
      <c r="CE83" s="2345"/>
      <c r="CF83" s="2345"/>
    </row>
    <row r="84" spans="1:84" s="5527" customFormat="1" ht="21" customHeight="1">
      <c r="A84" s="2335"/>
      <c r="B84" s="2335"/>
      <c r="C84" s="2335"/>
      <c r="D84" s="2335"/>
      <c r="E84" s="6764"/>
      <c r="F84" s="6764" t="s">
        <v>89</v>
      </c>
      <c r="G84" s="6764"/>
      <c r="H84" s="6764"/>
      <c r="I84" s="6784"/>
      <c r="J84" s="6761" t="str">
        <f>I83&amp;".1"</f>
        <v>1.4.1.1.1.1</v>
      </c>
      <c r="K84" s="2335"/>
      <c r="L84" s="2336" t="s">
        <v>526</v>
      </c>
      <c r="M84" s="2205"/>
      <c r="N84" s="2205"/>
      <c r="O84" s="2352"/>
      <c r="P84" s="6762"/>
      <c r="Q84" s="6762">
        <v>1</v>
      </c>
      <c r="R84" s="2357"/>
      <c r="S84" s="2341" t="str">
        <f>$J84</f>
        <v>1.4.1.1.1.1</v>
      </c>
      <c r="T84" s="2358" t="s">
        <v>527</v>
      </c>
      <c r="U84" s="2343"/>
      <c r="V84" s="6752"/>
      <c r="W84" s="6753"/>
      <c r="X84" s="6753"/>
      <c r="Y84" s="6753"/>
      <c r="Z84" s="6753"/>
      <c r="AA84" s="6753"/>
      <c r="AB84" s="6753"/>
      <c r="AC84" s="6754"/>
      <c r="AD84" s="6752" t="s">
        <v>566</v>
      </c>
      <c r="AE84" s="6753"/>
      <c r="AF84" s="6753"/>
      <c r="AG84" s="6753"/>
      <c r="AH84" s="6753"/>
      <c r="AI84" s="6753"/>
      <c r="AJ84" s="6753"/>
      <c r="AK84" s="6753"/>
      <c r="AL84" s="6752"/>
      <c r="AM84" s="6753"/>
      <c r="AN84" s="6753"/>
      <c r="AO84" s="6753"/>
      <c r="AP84" s="6753"/>
      <c r="AQ84" s="6753"/>
      <c r="AR84" s="6753"/>
      <c r="AS84" s="6754"/>
      <c r="AT84" s="6752"/>
      <c r="AU84" s="6753"/>
      <c r="AV84" s="6753"/>
      <c r="AW84" s="6753"/>
      <c r="AX84" s="6753"/>
      <c r="AY84" s="6753"/>
      <c r="AZ84" s="6753"/>
      <c r="BA84" s="6754"/>
      <c r="BB84" s="6752"/>
      <c r="BC84" s="6753"/>
      <c r="BD84" s="6753"/>
      <c r="BE84" s="6753"/>
      <c r="BF84" s="6753"/>
      <c r="BG84" s="6753"/>
      <c r="BH84" s="6753"/>
      <c r="BI84" s="6754"/>
      <c r="BJ84" s="6752"/>
      <c r="BK84" s="6753"/>
      <c r="BL84" s="6753"/>
      <c r="BM84" s="6753"/>
      <c r="BN84" s="6753"/>
      <c r="BO84" s="6753"/>
      <c r="BP84" s="6753"/>
      <c r="BQ84" s="6754"/>
      <c r="BR84" s="6752"/>
      <c r="BS84" s="6753"/>
      <c r="BT84" s="6753"/>
      <c r="BU84" s="6753"/>
      <c r="BV84" s="6753"/>
      <c r="BW84" s="6753"/>
      <c r="BX84" s="6753"/>
      <c r="BY84" s="6754"/>
      <c r="BZ84" s="6754"/>
      <c r="CA84" s="2344" t="s">
        <v>528</v>
      </c>
      <c r="CB84" s="2211"/>
      <c r="CC84" s="2345"/>
      <c r="CD84" s="2345" t="str">
        <f t="shared" si="2"/>
        <v>Группа потребителей</v>
      </c>
      <c r="CE84" s="2345"/>
      <c r="CF84" s="2345"/>
    </row>
    <row r="85" spans="1:84" s="5528" customFormat="1" ht="21" customHeight="1">
      <c r="A85" s="2335"/>
      <c r="B85" s="2335"/>
      <c r="C85" s="2335"/>
      <c r="D85" s="2335"/>
      <c r="E85" s="6764"/>
      <c r="F85" s="6764" t="s">
        <v>89</v>
      </c>
      <c r="G85" s="6764"/>
      <c r="H85" s="6764"/>
      <c r="I85" s="6784"/>
      <c r="J85" s="6784"/>
      <c r="K85" s="6761" t="str">
        <f>J84&amp;".1"</f>
        <v>1.4.1.1.1.1.1</v>
      </c>
      <c r="L85" s="2336" t="s">
        <v>529</v>
      </c>
      <c r="M85" s="2205"/>
      <c r="N85" s="2205"/>
      <c r="O85" s="2205"/>
      <c r="P85" s="6762"/>
      <c r="Q85" s="6762"/>
      <c r="R85" s="2357">
        <v>1</v>
      </c>
      <c r="S85" s="2341" t="str">
        <f>$K85</f>
        <v>1.4.1.1.1.1.1</v>
      </c>
      <c r="T85" s="2360" t="s">
        <v>567</v>
      </c>
      <c r="U85" s="2343"/>
      <c r="V85" s="2763"/>
      <c r="W85" s="2763"/>
      <c r="X85" s="2763"/>
      <c r="Y85" s="2764"/>
      <c r="Z85" s="6768"/>
      <c r="AA85" s="6769" t="s">
        <v>61</v>
      </c>
      <c r="AB85" s="6768"/>
      <c r="AC85" s="6769" t="s">
        <v>61</v>
      </c>
      <c r="AD85" s="2078">
        <v>45.18</v>
      </c>
      <c r="AE85" s="2079"/>
      <c r="AF85" s="2078"/>
      <c r="AG85" s="2080"/>
      <c r="AH85" s="6766">
        <v>45292.740185185183</v>
      </c>
      <c r="AI85" s="6610" t="s">
        <v>61</v>
      </c>
      <c r="AJ85" s="6766">
        <v>45838.740266203706</v>
      </c>
      <c r="AK85" s="6610" t="s">
        <v>61</v>
      </c>
      <c r="AL85" s="2078">
        <v>47.69</v>
      </c>
      <c r="AM85" s="2079"/>
      <c r="AN85" s="2078"/>
      <c r="AO85" s="2080"/>
      <c r="AP85" s="6766">
        <v>45839.740486111114</v>
      </c>
      <c r="AQ85" s="6610" t="s">
        <v>61</v>
      </c>
      <c r="AR85" s="6766">
        <v>46203.740613425929</v>
      </c>
      <c r="AS85" s="6610" t="s">
        <v>61</v>
      </c>
      <c r="AT85" s="2078">
        <v>49.51</v>
      </c>
      <c r="AU85" s="2079"/>
      <c r="AV85" s="2078"/>
      <c r="AW85" s="2080"/>
      <c r="AX85" s="6766">
        <v>46204.740914351853</v>
      </c>
      <c r="AY85" s="6610" t="s">
        <v>61</v>
      </c>
      <c r="AZ85" s="6766">
        <v>46568.74113425926</v>
      </c>
      <c r="BA85" s="6610" t="s">
        <v>61</v>
      </c>
      <c r="BB85" s="2078">
        <v>51.4</v>
      </c>
      <c r="BC85" s="2079"/>
      <c r="BD85" s="2078"/>
      <c r="BE85" s="2080"/>
      <c r="BF85" s="6766">
        <v>46569.741354166668</v>
      </c>
      <c r="BG85" s="6610" t="s">
        <v>61</v>
      </c>
      <c r="BH85" s="6766">
        <v>46934.741550925923</v>
      </c>
      <c r="BI85" s="6610" t="s">
        <v>61</v>
      </c>
      <c r="BJ85" s="2078">
        <v>53.37</v>
      </c>
      <c r="BK85" s="2079"/>
      <c r="BL85" s="2078"/>
      <c r="BM85" s="2080"/>
      <c r="BN85" s="6766">
        <v>46935.741770833331</v>
      </c>
      <c r="BO85" s="6610" t="s">
        <v>61</v>
      </c>
      <c r="BP85" s="6766">
        <v>47118.741944444446</v>
      </c>
      <c r="BQ85" s="6610" t="s">
        <v>56</v>
      </c>
      <c r="BR85" s="2763"/>
      <c r="BS85" s="2763"/>
      <c r="BT85" s="2763"/>
      <c r="BU85" s="2764"/>
      <c r="BV85" s="6768"/>
      <c r="BW85" s="6769" t="s">
        <v>61</v>
      </c>
      <c r="BX85" s="6768"/>
      <c r="BY85" s="6769" t="s">
        <v>61</v>
      </c>
      <c r="BZ85" s="2079"/>
      <c r="CA85" s="6758" t="s">
        <v>530</v>
      </c>
      <c r="CB85" s="2211" t="e">
        <f ca="1">STRCHECKDATE(V86:BZ86)</f>
        <v>#NAME?</v>
      </c>
      <c r="CC85" s="2345"/>
      <c r="CD85" s="2345" t="str">
        <f t="shared" si="2"/>
        <v>вода</v>
      </c>
      <c r="CE85" s="2345"/>
      <c r="CF85" s="2345"/>
    </row>
    <row r="86" spans="1:84" s="5529" customFormat="1" ht="0.75" customHeight="1">
      <c r="A86" s="2335"/>
      <c r="B86" s="2335"/>
      <c r="C86" s="2335"/>
      <c r="D86" s="2335"/>
      <c r="E86" s="6764"/>
      <c r="F86" s="6764" t="s">
        <v>89</v>
      </c>
      <c r="G86" s="6764"/>
      <c r="H86" s="6764"/>
      <c r="I86" s="6784"/>
      <c r="J86" s="6784"/>
      <c r="K86" s="6761"/>
      <c r="L86" s="2336"/>
      <c r="M86" s="2205"/>
      <c r="N86" s="2205"/>
      <c r="O86" s="2205"/>
      <c r="P86" s="6762"/>
      <c r="Q86" s="6762"/>
      <c r="R86" s="2357"/>
      <c r="S86" s="2362"/>
      <c r="T86" s="2343"/>
      <c r="U86" s="2343"/>
      <c r="V86" s="2763"/>
      <c r="W86" s="2763"/>
      <c r="X86" s="2763"/>
      <c r="Y86" s="2082" t="str">
        <f>Z85&amp;"-"&amp;AB85</f>
        <v>-</v>
      </c>
      <c r="Z86" s="6769"/>
      <c r="AA86" s="6769"/>
      <c r="AB86" s="6769"/>
      <c r="AC86" s="6769"/>
      <c r="AD86" s="2079"/>
      <c r="AE86" s="2079"/>
      <c r="AF86" s="2079"/>
      <c r="AG86" s="2082" t="str">
        <f>AH85&amp;"-"&amp;AJ85</f>
        <v>45292,7401851852-45838,7402662037</v>
      </c>
      <c r="AH86" s="6767"/>
      <c r="AI86" s="6610"/>
      <c r="AJ86" s="6767"/>
      <c r="AK86" s="6610"/>
      <c r="AL86" s="2079"/>
      <c r="AM86" s="2079"/>
      <c r="AN86" s="2079"/>
      <c r="AO86" s="2082" t="str">
        <f>AP85&amp;"-"&amp;AR85</f>
        <v>45839,7404861111-46203,7406134259</v>
      </c>
      <c r="AP86" s="6767"/>
      <c r="AQ86" s="6610"/>
      <c r="AR86" s="6767"/>
      <c r="AS86" s="6610"/>
      <c r="AT86" s="2079"/>
      <c r="AU86" s="2079"/>
      <c r="AV86" s="2079"/>
      <c r="AW86" s="2082" t="str">
        <f>AX85&amp;"-"&amp;AZ85</f>
        <v>46204,7409143519-46568,7411342593</v>
      </c>
      <c r="AX86" s="6767"/>
      <c r="AY86" s="6610"/>
      <c r="AZ86" s="6767"/>
      <c r="BA86" s="6610"/>
      <c r="BB86" s="2079"/>
      <c r="BC86" s="2079"/>
      <c r="BD86" s="2079"/>
      <c r="BE86" s="2082" t="str">
        <f>BF85&amp;"-"&amp;BH85</f>
        <v>46569,7413541667-46934,7415509259</v>
      </c>
      <c r="BF86" s="6767"/>
      <c r="BG86" s="6610"/>
      <c r="BH86" s="6767"/>
      <c r="BI86" s="6610"/>
      <c r="BJ86" s="2079"/>
      <c r="BK86" s="2079"/>
      <c r="BL86" s="2079"/>
      <c r="BM86" s="2082" t="str">
        <f>BN85&amp;"-"&amp;BP85</f>
        <v>46935,7417708333-47118,7419444444</v>
      </c>
      <c r="BN86" s="6767"/>
      <c r="BO86" s="6610"/>
      <c r="BP86" s="6767"/>
      <c r="BQ86" s="6610"/>
      <c r="BR86" s="2763"/>
      <c r="BS86" s="2763"/>
      <c r="BT86" s="2763"/>
      <c r="BU86" s="2082" t="str">
        <f>BV85&amp;"-"&amp;BX85</f>
        <v>-</v>
      </c>
      <c r="BV86" s="6769"/>
      <c r="BW86" s="6769"/>
      <c r="BX86" s="6769"/>
      <c r="BY86" s="6769"/>
      <c r="BZ86" s="2079"/>
      <c r="CA86" s="6759"/>
      <c r="CB86" s="2211"/>
      <c r="CC86" s="2345"/>
      <c r="CD86" s="2345" t="str">
        <f t="shared" si="2"/>
        <v/>
      </c>
      <c r="CE86" s="2345"/>
      <c r="CF86" s="2345"/>
    </row>
    <row r="87" spans="1:84" s="5530" customFormat="1" ht="15" customHeight="1">
      <c r="A87" s="2335"/>
      <c r="B87" s="2335"/>
      <c r="C87" s="2335"/>
      <c r="D87" s="2335"/>
      <c r="E87" s="6764"/>
      <c r="F87" s="6764" t="s">
        <v>89</v>
      </c>
      <c r="G87" s="6764"/>
      <c r="H87" s="6764"/>
      <c r="I87" s="6784"/>
      <c r="J87" s="6761"/>
      <c r="K87" s="2335"/>
      <c r="L87" s="2336"/>
      <c r="M87" s="2205"/>
      <c r="N87" s="2205"/>
      <c r="O87" s="2352"/>
      <c r="P87" s="6762"/>
      <c r="Q87" s="6762"/>
      <c r="R87" s="2354"/>
      <c r="S87" s="5531"/>
      <c r="T87" s="5532" t="s">
        <v>531</v>
      </c>
      <c r="U87" s="5533"/>
      <c r="V87" s="5534"/>
      <c r="W87" s="5535"/>
      <c r="X87" s="5536"/>
      <c r="Y87" s="5537"/>
      <c r="Z87" s="5538"/>
      <c r="AA87" s="5539"/>
      <c r="AB87" s="5540"/>
      <c r="AC87" s="5541"/>
      <c r="AD87" s="5542"/>
      <c r="AE87" s="5543"/>
      <c r="AF87" s="5544"/>
      <c r="AG87" s="5545"/>
      <c r="AH87" s="5546"/>
      <c r="AI87" s="5547"/>
      <c r="AJ87" s="5548"/>
      <c r="AK87" s="5549"/>
      <c r="AL87" s="5550"/>
      <c r="AM87" s="5551"/>
      <c r="AN87" s="5552"/>
      <c r="AO87" s="5553"/>
      <c r="AP87" s="5554"/>
      <c r="AQ87" s="5555"/>
      <c r="AR87" s="5556"/>
      <c r="AS87" s="5557"/>
      <c r="AT87" s="5558"/>
      <c r="AU87" s="5559"/>
      <c r="AV87" s="5560"/>
      <c r="AW87" s="5561"/>
      <c r="AX87" s="5562"/>
      <c r="AY87" s="5563"/>
      <c r="AZ87" s="5564"/>
      <c r="BA87" s="5565"/>
      <c r="BB87" s="5566"/>
      <c r="BC87" s="5567"/>
      <c r="BD87" s="5568"/>
      <c r="BE87" s="5569"/>
      <c r="BF87" s="5570"/>
      <c r="BG87" s="5571"/>
      <c r="BH87" s="5572"/>
      <c r="BI87" s="5573"/>
      <c r="BJ87" s="5574"/>
      <c r="BK87" s="5575"/>
      <c r="BL87" s="5576"/>
      <c r="BM87" s="5577"/>
      <c r="BN87" s="5578"/>
      <c r="BO87" s="5579"/>
      <c r="BP87" s="5580"/>
      <c r="BQ87" s="5581"/>
      <c r="BR87" s="5582"/>
      <c r="BS87" s="5583"/>
      <c r="BT87" s="5584"/>
      <c r="BU87" s="5585"/>
      <c r="BV87" s="5586"/>
      <c r="BW87" s="5587"/>
      <c r="BX87" s="5588"/>
      <c r="BY87" s="5589"/>
      <c r="BZ87" s="5590"/>
      <c r="CA87" s="6760"/>
      <c r="CB87" s="2211"/>
      <c r="CC87" s="2345"/>
      <c r="CD87" s="2345" t="str">
        <f t="shared" si="2"/>
        <v>Добавить вид теплоносителя (параметры теплоносителя)</v>
      </c>
      <c r="CE87" s="2345"/>
      <c r="CF87" s="2345"/>
    </row>
    <row r="88" spans="1:84" s="5591" customFormat="1" ht="15" customHeight="1">
      <c r="A88" s="2335"/>
      <c r="B88" s="2335"/>
      <c r="C88" s="2335"/>
      <c r="D88" s="2335"/>
      <c r="E88" s="6764"/>
      <c r="F88" s="6764" t="s">
        <v>89</v>
      </c>
      <c r="G88" s="6764"/>
      <c r="H88" s="6764"/>
      <c r="I88" s="6761"/>
      <c r="J88" s="2335"/>
      <c r="K88" s="2335"/>
      <c r="L88" s="2336"/>
      <c r="M88" s="2205"/>
      <c r="N88" s="2352"/>
      <c r="O88" s="2352"/>
      <c r="P88" s="6762"/>
      <c r="Q88" s="2353"/>
      <c r="R88" s="2354"/>
      <c r="S88" s="5592"/>
      <c r="T88" s="5593" t="s">
        <v>532</v>
      </c>
      <c r="U88" s="5594"/>
      <c r="V88" s="5595"/>
      <c r="W88" s="5596"/>
      <c r="X88" s="5597"/>
      <c r="Y88" s="5598"/>
      <c r="Z88" s="5599"/>
      <c r="AA88" s="5600"/>
      <c r="AB88" s="5601"/>
      <c r="AC88" s="5602"/>
      <c r="AD88" s="5603"/>
      <c r="AE88" s="5604"/>
      <c r="AF88" s="5605"/>
      <c r="AG88" s="5606"/>
      <c r="AH88" s="5607"/>
      <c r="AI88" s="5608"/>
      <c r="AJ88" s="5609"/>
      <c r="AK88" s="5610"/>
      <c r="AL88" s="5611"/>
      <c r="AM88" s="5612"/>
      <c r="AN88" s="5613"/>
      <c r="AO88" s="5614"/>
      <c r="AP88" s="5615"/>
      <c r="AQ88" s="5616"/>
      <c r="AR88" s="5617"/>
      <c r="AS88" s="5618"/>
      <c r="AT88" s="5619"/>
      <c r="AU88" s="5620"/>
      <c r="AV88" s="5621"/>
      <c r="AW88" s="5622"/>
      <c r="AX88" s="5623"/>
      <c r="AY88" s="5624"/>
      <c r="AZ88" s="5625"/>
      <c r="BA88" s="5626"/>
      <c r="BB88" s="5627"/>
      <c r="BC88" s="5628"/>
      <c r="BD88" s="5629"/>
      <c r="BE88" s="5630"/>
      <c r="BF88" s="5631"/>
      <c r="BG88" s="5632"/>
      <c r="BH88" s="5633"/>
      <c r="BI88" s="5634"/>
      <c r="BJ88" s="5635"/>
      <c r="BK88" s="5636"/>
      <c r="BL88" s="5637"/>
      <c r="BM88" s="5638"/>
      <c r="BN88" s="5639"/>
      <c r="BO88" s="5640"/>
      <c r="BP88" s="5641"/>
      <c r="BQ88" s="5642"/>
      <c r="BR88" s="5643"/>
      <c r="BS88" s="5644"/>
      <c r="BT88" s="5645"/>
      <c r="BU88" s="5646"/>
      <c r="BV88" s="5647"/>
      <c r="BW88" s="5648"/>
      <c r="BX88" s="5649"/>
      <c r="BY88" s="5650"/>
      <c r="BZ88" s="5651"/>
      <c r="CA88" s="5652"/>
      <c r="CB88" s="2211"/>
      <c r="CC88" s="2345"/>
      <c r="CD88" s="2345" t="str">
        <f t="shared" si="2"/>
        <v>Добавить группу потребителей</v>
      </c>
      <c r="CE88" s="2345"/>
      <c r="CF88" s="2345"/>
    </row>
    <row r="89" spans="1:84" s="5653" customFormat="1" ht="14.25" customHeight="1">
      <c r="A89" s="2335"/>
      <c r="B89" s="2335"/>
      <c r="C89" s="2335"/>
      <c r="D89" s="2335"/>
      <c r="E89" s="6764"/>
      <c r="F89" s="6764" t="s">
        <v>89</v>
      </c>
      <c r="G89" s="6764"/>
      <c r="H89" s="6763"/>
      <c r="I89" s="2335"/>
      <c r="J89" s="2335"/>
      <c r="K89" s="2335"/>
      <c r="L89" s="2336"/>
      <c r="M89" s="2337"/>
      <c r="N89" s="2337"/>
      <c r="O89" s="2205"/>
      <c r="P89" s="2487"/>
      <c r="Q89" s="2488"/>
      <c r="R89" s="2489"/>
      <c r="S89" s="5385"/>
      <c r="T89" s="5386"/>
      <c r="U89" s="5168"/>
      <c r="V89" s="5168"/>
      <c r="W89" s="5168"/>
      <c r="X89" s="5168"/>
      <c r="Y89" s="5168"/>
      <c r="Z89" s="5168"/>
      <c r="AA89" s="5168"/>
      <c r="AB89" s="5168"/>
      <c r="AC89" s="5168"/>
      <c r="AD89" s="5168"/>
      <c r="AE89" s="5168"/>
      <c r="AF89" s="5168"/>
      <c r="AG89" s="5168"/>
      <c r="AH89" s="5168"/>
      <c r="AI89" s="5168"/>
      <c r="AJ89" s="5168"/>
      <c r="AK89" s="5168"/>
      <c r="AL89" s="5168"/>
      <c r="AM89" s="5168"/>
      <c r="AN89" s="5168"/>
      <c r="AO89" s="5168"/>
      <c r="AP89" s="5168"/>
      <c r="AQ89" s="5168"/>
      <c r="AR89" s="5168"/>
      <c r="AS89" s="5168"/>
      <c r="AT89" s="5168"/>
      <c r="AU89" s="5168"/>
      <c r="AV89" s="5168"/>
      <c r="AW89" s="5168"/>
      <c r="AX89" s="5168"/>
      <c r="AY89" s="5168"/>
      <c r="AZ89" s="5168"/>
      <c r="BA89" s="5168"/>
      <c r="BB89" s="5168"/>
      <c r="BC89" s="5168"/>
      <c r="BD89" s="5168"/>
      <c r="BE89" s="5168"/>
      <c r="BF89" s="5168"/>
      <c r="BG89" s="5168"/>
      <c r="BH89" s="5168"/>
      <c r="BI89" s="5168"/>
      <c r="BJ89" s="5168"/>
      <c r="BK89" s="5168"/>
      <c r="BL89" s="5168"/>
      <c r="BM89" s="5168"/>
      <c r="BN89" s="5168"/>
      <c r="BO89" s="5168"/>
      <c r="BP89" s="5168"/>
      <c r="BQ89" s="5168"/>
      <c r="BR89" s="5168"/>
      <c r="BS89" s="5168"/>
      <c r="BT89" s="5168"/>
      <c r="BU89" s="5168"/>
      <c r="BV89" s="5168"/>
      <c r="BW89" s="5168"/>
      <c r="BX89" s="5168"/>
      <c r="BY89" s="5168"/>
      <c r="BZ89" s="5168"/>
      <c r="CA89" s="5387"/>
      <c r="CB89" s="2211"/>
      <c r="CC89" s="2345"/>
      <c r="CD89" s="2345" t="str">
        <f t="shared" si="2"/>
        <v/>
      </c>
      <c r="CE89" s="2345"/>
      <c r="CF89" s="2345"/>
    </row>
    <row r="90" spans="1:84" s="5654" customFormat="1" ht="0.75" customHeight="1">
      <c r="A90" s="2552"/>
      <c r="B90" s="2552"/>
      <c r="C90" s="2552"/>
      <c r="D90" s="2552"/>
      <c r="E90" s="6764"/>
      <c r="F90" s="6764" t="s">
        <v>89</v>
      </c>
      <c r="G90" s="6763"/>
      <c r="H90" s="2552"/>
      <c r="I90" s="2552"/>
      <c r="J90" s="2552"/>
      <c r="K90" s="2552"/>
      <c r="L90" s="2553"/>
      <c r="M90" s="2554"/>
      <c r="N90" s="2554"/>
      <c r="O90" s="2211"/>
      <c r="P90" s="2555"/>
      <c r="Q90" s="2556"/>
      <c r="R90" s="2555"/>
      <c r="S90" s="2557"/>
      <c r="T90" s="2558" t="s">
        <v>228</v>
      </c>
      <c r="U90" s="2203"/>
      <c r="V90" s="2203"/>
      <c r="W90" s="2203"/>
      <c r="X90" s="2203"/>
      <c r="Y90" s="2203"/>
      <c r="Z90" s="2203"/>
      <c r="AA90" s="2203"/>
      <c r="AB90" s="2203"/>
      <c r="AC90" s="2203"/>
      <c r="AD90" s="2203"/>
      <c r="AE90" s="2203"/>
      <c r="AF90" s="2203"/>
      <c r="AG90" s="2203"/>
      <c r="AH90" s="2203"/>
      <c r="AI90" s="2203"/>
      <c r="AJ90" s="2203"/>
      <c r="AK90" s="2203"/>
      <c r="AL90" s="2203"/>
      <c r="AM90" s="2203"/>
      <c r="AN90" s="2203"/>
      <c r="AO90" s="2203"/>
      <c r="AP90" s="2203"/>
      <c r="AQ90" s="2203"/>
      <c r="AR90" s="2203"/>
      <c r="AS90" s="2203"/>
      <c r="AT90" s="2203"/>
      <c r="AU90" s="2203"/>
      <c r="AV90" s="2203"/>
      <c r="AW90" s="2203"/>
      <c r="AX90" s="2203"/>
      <c r="AY90" s="2203"/>
      <c r="AZ90" s="2203"/>
      <c r="BA90" s="2203"/>
      <c r="BB90" s="2203"/>
      <c r="BC90" s="2203"/>
      <c r="BD90" s="2203"/>
      <c r="BE90" s="2203"/>
      <c r="BF90" s="2203"/>
      <c r="BG90" s="2203"/>
      <c r="BH90" s="2203"/>
      <c r="BI90" s="2203"/>
      <c r="BJ90" s="2203"/>
      <c r="BK90" s="2203"/>
      <c r="BL90" s="2203"/>
      <c r="BM90" s="2203"/>
      <c r="BN90" s="2203"/>
      <c r="BO90" s="2203"/>
      <c r="BP90" s="2203"/>
      <c r="BQ90" s="2203"/>
      <c r="BR90" s="2203"/>
      <c r="BS90" s="2203"/>
      <c r="BT90" s="2203"/>
      <c r="BU90" s="2203"/>
      <c r="BV90" s="2203"/>
      <c r="BW90" s="2203"/>
      <c r="BX90" s="2203"/>
      <c r="BY90" s="2203"/>
      <c r="BZ90" s="2203"/>
      <c r="CA90" s="2203"/>
      <c r="CB90" s="2211"/>
      <c r="CC90" s="2345"/>
      <c r="CD90" s="2345" t="str">
        <f t="shared" si="2"/>
        <v>Добавить источник для дифференциации</v>
      </c>
      <c r="CE90" s="2345"/>
      <c r="CF90" s="2345"/>
    </row>
    <row r="91" spans="1:84" s="5655" customFormat="1" ht="0.75" customHeight="1">
      <c r="A91" s="2552"/>
      <c r="B91" s="2552"/>
      <c r="C91" s="2552"/>
      <c r="D91" s="2552"/>
      <c r="E91" s="6764"/>
      <c r="F91" s="6763" t="s">
        <v>89</v>
      </c>
      <c r="G91" s="2552"/>
      <c r="H91" s="2552"/>
      <c r="I91" s="2552"/>
      <c r="J91" s="2552"/>
      <c r="K91" s="2552"/>
      <c r="L91" s="2553"/>
      <c r="M91" s="2560"/>
      <c r="N91" s="2560"/>
      <c r="O91" s="2211"/>
      <c r="P91" s="2555"/>
      <c r="Q91" s="2556"/>
      <c r="R91" s="2555"/>
      <c r="S91" s="2561"/>
      <c r="T91" s="2562" t="s">
        <v>229</v>
      </c>
      <c r="U91" s="2204"/>
      <c r="V91" s="2204"/>
      <c r="W91" s="2204"/>
      <c r="X91" s="2204"/>
      <c r="Y91" s="2204"/>
      <c r="Z91" s="2204"/>
      <c r="AA91" s="2204"/>
      <c r="AB91" s="2204"/>
      <c r="AC91" s="2204"/>
      <c r="AD91" s="2204"/>
      <c r="AE91" s="2204"/>
      <c r="AF91" s="2204"/>
      <c r="AG91" s="2204"/>
      <c r="AH91" s="2204"/>
      <c r="AI91" s="2204"/>
      <c r="AJ91" s="2204"/>
      <c r="AK91" s="2204"/>
      <c r="AL91" s="2204"/>
      <c r="AM91" s="2204"/>
      <c r="AN91" s="2204"/>
      <c r="AO91" s="2204"/>
      <c r="AP91" s="2204"/>
      <c r="AQ91" s="2204"/>
      <c r="AR91" s="2204"/>
      <c r="AS91" s="2204"/>
      <c r="AT91" s="2204"/>
      <c r="AU91" s="2204"/>
      <c r="AV91" s="2204"/>
      <c r="AW91" s="2204"/>
      <c r="AX91" s="2204"/>
      <c r="AY91" s="2204"/>
      <c r="AZ91" s="2204"/>
      <c r="BA91" s="2204"/>
      <c r="BB91" s="2204"/>
      <c r="BC91" s="2204"/>
      <c r="BD91" s="2204"/>
      <c r="BE91" s="2204"/>
      <c r="BF91" s="2204"/>
      <c r="BG91" s="2204"/>
      <c r="BH91" s="2204"/>
      <c r="BI91" s="2204"/>
      <c r="BJ91" s="2204"/>
      <c r="BK91" s="2204"/>
      <c r="BL91" s="2204"/>
      <c r="BM91" s="2204"/>
      <c r="BN91" s="2204"/>
      <c r="BO91" s="2204"/>
      <c r="BP91" s="2204"/>
      <c r="BQ91" s="2204"/>
      <c r="BR91" s="2204"/>
      <c r="BS91" s="2204"/>
      <c r="BT91" s="2204"/>
      <c r="BU91" s="2204"/>
      <c r="BV91" s="2204"/>
      <c r="BW91" s="2204"/>
      <c r="BX91" s="2204"/>
      <c r="BY91" s="2204"/>
      <c r="BZ91" s="2204"/>
      <c r="CA91" s="2204"/>
      <c r="CB91" s="2211"/>
      <c r="CC91" s="2345"/>
      <c r="CD91" s="2345" t="str">
        <f t="shared" si="2"/>
        <v>Добавить централизованную систему для дифференциации</v>
      </c>
      <c r="CE91" s="2345"/>
      <c r="CF91" s="2345"/>
    </row>
    <row r="92" spans="1:84" s="1817" customFormat="1" ht="0.75" customHeight="1">
      <c r="A92" s="1260" t="s">
        <v>278</v>
      </c>
      <c r="B92" s="1260"/>
      <c r="C92" s="1260"/>
      <c r="D92" s="1260"/>
      <c r="E92" s="6763"/>
      <c r="F92" s="1260"/>
      <c r="G92" s="1260"/>
      <c r="H92" s="1260"/>
      <c r="I92" s="1260"/>
      <c r="J92" s="1260"/>
      <c r="K92" s="1260"/>
      <c r="L92" s="1263"/>
      <c r="M92" s="1239"/>
      <c r="N92" s="1239"/>
      <c r="O92" s="444"/>
      <c r="P92" s="313"/>
      <c r="Q92" s="1261"/>
      <c r="R92" s="313"/>
      <c r="S92" s="1240"/>
      <c r="T92" s="1243" t="s">
        <v>272</v>
      </c>
      <c r="U92" s="1242"/>
      <c r="V92" s="1242"/>
      <c r="W92" s="1242"/>
      <c r="X92" s="1242"/>
      <c r="Y92" s="1242"/>
      <c r="Z92" s="1242"/>
      <c r="AA92" s="1242"/>
      <c r="AB92" s="1242"/>
      <c r="AC92" s="1242"/>
      <c r="AD92" s="1242"/>
      <c r="AE92" s="1242"/>
      <c r="AF92" s="1242"/>
      <c r="AG92" s="1242"/>
      <c r="AH92" s="1242"/>
      <c r="AI92" s="1242"/>
      <c r="AJ92" s="1242"/>
      <c r="AK92" s="1242"/>
      <c r="AL92" s="2204"/>
      <c r="AM92" s="2204"/>
      <c r="AN92" s="2204"/>
      <c r="AO92" s="2204"/>
      <c r="AP92" s="2204"/>
      <c r="AQ92" s="2204"/>
      <c r="AR92" s="2204"/>
      <c r="AS92" s="2204"/>
      <c r="AT92" s="2204"/>
      <c r="AU92" s="2204"/>
      <c r="AV92" s="2204"/>
      <c r="AW92" s="2204"/>
      <c r="AX92" s="2204"/>
      <c r="AY92" s="2204"/>
      <c r="AZ92" s="2204"/>
      <c r="BA92" s="2204"/>
      <c r="BB92" s="2204"/>
      <c r="BC92" s="2204"/>
      <c r="BD92" s="2204"/>
      <c r="BE92" s="2204"/>
      <c r="BF92" s="2204"/>
      <c r="BG92" s="2204"/>
      <c r="BH92" s="2204"/>
      <c r="BI92" s="2204"/>
      <c r="BJ92" s="2204"/>
      <c r="BK92" s="2204"/>
      <c r="BL92" s="2204"/>
      <c r="BM92" s="2204"/>
      <c r="BN92" s="2204"/>
      <c r="BO92" s="2204"/>
      <c r="BP92" s="2204"/>
      <c r="BQ92" s="2204"/>
      <c r="BR92" s="2204"/>
      <c r="BS92" s="2204"/>
      <c r="BT92" s="2204"/>
      <c r="BU92" s="2204"/>
      <c r="BV92" s="2204"/>
      <c r="BW92" s="2204"/>
      <c r="BX92" s="2204"/>
      <c r="BY92" s="2204"/>
      <c r="BZ92" s="1242"/>
      <c r="CA92" s="1242"/>
      <c r="CC92" s="426"/>
      <c r="CD92" s="426" t="str">
        <f t="shared" si="2"/>
        <v>Добавить территорию для дифференциации</v>
      </c>
      <c r="CE92" s="426"/>
      <c r="CF92" s="426"/>
    </row>
    <row r="93" spans="1:84" s="2067" customFormat="1" ht="0.75" customHeight="1">
      <c r="A93" s="1232"/>
      <c r="B93" s="1232"/>
      <c r="C93" s="1232"/>
      <c r="D93" s="1232"/>
      <c r="E93" s="1260"/>
      <c r="F93" s="1232"/>
      <c r="G93" s="1232"/>
      <c r="H93" s="1232"/>
      <c r="I93" s="1232"/>
      <c r="J93" s="1232"/>
      <c r="K93" s="1232"/>
      <c r="L93" s="1256"/>
      <c r="M93" s="1239"/>
      <c r="N93" s="1239"/>
      <c r="P93" s="1234"/>
      <c r="Q93" s="1235"/>
      <c r="R93" s="1234"/>
      <c r="S93" s="1240"/>
      <c r="T93" s="1243" t="s">
        <v>273</v>
      </c>
      <c r="U93" s="1242"/>
      <c r="V93" s="1242"/>
      <c r="W93" s="1242"/>
      <c r="X93" s="1242"/>
      <c r="Y93" s="1242"/>
      <c r="Z93" s="1242"/>
      <c r="AA93" s="1242"/>
      <c r="AB93" s="1242"/>
      <c r="AC93" s="1242"/>
      <c r="AD93" s="1242"/>
      <c r="AE93" s="1242"/>
      <c r="AF93" s="1242"/>
      <c r="AG93" s="1242"/>
      <c r="AH93" s="1242"/>
      <c r="AI93" s="1242"/>
      <c r="AJ93" s="1242"/>
      <c r="AK93" s="1242"/>
      <c r="AL93" s="2204"/>
      <c r="AM93" s="2204"/>
      <c r="AN93" s="2204"/>
      <c r="AO93" s="2204"/>
      <c r="AP93" s="2204"/>
      <c r="AQ93" s="2204"/>
      <c r="AR93" s="2204"/>
      <c r="AS93" s="2204"/>
      <c r="AT93" s="2204"/>
      <c r="AU93" s="2204"/>
      <c r="AV93" s="2204"/>
      <c r="AW93" s="2204"/>
      <c r="AX93" s="2204"/>
      <c r="AY93" s="2204"/>
      <c r="AZ93" s="2204"/>
      <c r="BA93" s="2204"/>
      <c r="BB93" s="2204"/>
      <c r="BC93" s="2204"/>
      <c r="BD93" s="2204"/>
      <c r="BE93" s="2204"/>
      <c r="BF93" s="2204"/>
      <c r="BG93" s="2204"/>
      <c r="BH93" s="2204"/>
      <c r="BI93" s="2204"/>
      <c r="BJ93" s="2204"/>
      <c r="BK93" s="2204"/>
      <c r="BL93" s="2204"/>
      <c r="BM93" s="2204"/>
      <c r="BN93" s="2204"/>
      <c r="BO93" s="2204"/>
      <c r="BP93" s="2204"/>
      <c r="BQ93" s="2204"/>
      <c r="BR93" s="2204"/>
      <c r="BS93" s="2204"/>
      <c r="BT93" s="2204"/>
      <c r="BU93" s="2204"/>
      <c r="BV93" s="2204"/>
      <c r="BW93" s="2204"/>
      <c r="BX93" s="2204"/>
      <c r="BY93" s="2204"/>
      <c r="BZ93" s="1242"/>
      <c r="CA93" s="1242"/>
      <c r="CC93" s="706"/>
      <c r="CD93" s="706" t="str">
        <f t="shared" si="2"/>
        <v>Добавить наименование тарифа</v>
      </c>
      <c r="CE93" s="706"/>
      <c r="CF93" s="706"/>
    </row>
    <row r="94" spans="1:84" ht="11.25" customHeight="1">
      <c r="M94" s="1060"/>
      <c r="N94" s="1060"/>
      <c r="O94" s="462"/>
      <c r="P94" s="1055"/>
      <c r="Q94" s="1055"/>
      <c r="R94" s="1055"/>
      <c r="S94" s="1055"/>
      <c r="AL94" s="2077"/>
      <c r="AM94" s="2077"/>
      <c r="AN94" s="2077"/>
      <c r="AO94" s="2077"/>
      <c r="AP94" s="2077"/>
      <c r="AQ94" s="2077"/>
      <c r="AR94" s="2077"/>
      <c r="AS94" s="2077"/>
      <c r="AT94" s="2077"/>
      <c r="AU94" s="2077"/>
      <c r="AV94" s="2077"/>
      <c r="AW94" s="2077"/>
      <c r="AX94" s="2077"/>
      <c r="AY94" s="2077"/>
      <c r="AZ94" s="2077"/>
      <c r="BA94" s="2077"/>
      <c r="BB94" s="2077"/>
      <c r="BC94" s="2077"/>
      <c r="BD94" s="2077"/>
      <c r="BE94" s="2077"/>
      <c r="BF94" s="2077"/>
      <c r="BG94" s="2077"/>
      <c r="BH94" s="2077"/>
      <c r="BI94" s="2077"/>
      <c r="BJ94" s="2077"/>
      <c r="BK94" s="2077"/>
      <c r="BL94" s="2077"/>
      <c r="BM94" s="2077"/>
      <c r="BN94" s="2077"/>
      <c r="BO94" s="2077"/>
      <c r="BP94" s="2077"/>
      <c r="BQ94" s="2077"/>
      <c r="BR94" s="2077"/>
      <c r="BS94" s="2077"/>
      <c r="BT94" s="2077"/>
      <c r="BU94" s="2077"/>
      <c r="BV94" s="2077"/>
      <c r="BW94" s="2077"/>
      <c r="BX94" s="2077"/>
      <c r="BY94" s="2077"/>
      <c r="CB94" s="1055"/>
      <c r="CC94" s="1055"/>
      <c r="CD94" s="1055"/>
      <c r="CE94" s="1055"/>
      <c r="CF94" s="1055"/>
    </row>
    <row r="95" spans="1:84" ht="18.75" customHeight="1">
      <c r="O95" s="462"/>
      <c r="S95" s="1164"/>
      <c r="T95" s="6783"/>
      <c r="U95" s="6783"/>
      <c r="V95" s="6783"/>
      <c r="W95" s="6783"/>
      <c r="X95" s="6783"/>
      <c r="Y95" s="6783"/>
      <c r="Z95" s="6783"/>
      <c r="AA95" s="6783"/>
      <c r="AB95" s="6783"/>
      <c r="AC95" s="6783"/>
      <c r="AD95" s="6783"/>
      <c r="AE95" s="6783"/>
      <c r="AF95" s="6783"/>
      <c r="AG95" s="6783"/>
      <c r="AH95" s="6783"/>
      <c r="AI95" s="6783"/>
      <c r="AJ95" s="6783"/>
      <c r="AK95" s="6783"/>
      <c r="AL95" s="6783"/>
      <c r="AM95" s="6783"/>
      <c r="AN95" s="6783"/>
      <c r="AO95" s="6783"/>
      <c r="AP95" s="6783"/>
      <c r="AQ95" s="6783"/>
      <c r="AR95" s="6783"/>
      <c r="AS95" s="6783"/>
      <c r="AT95" s="6783"/>
      <c r="AU95" s="6783"/>
      <c r="AV95" s="6783"/>
      <c r="AW95" s="6783"/>
      <c r="AX95" s="6783"/>
      <c r="AY95" s="6783"/>
      <c r="AZ95" s="6783"/>
      <c r="BA95" s="6783"/>
      <c r="BB95" s="6783"/>
      <c r="BC95" s="6783"/>
      <c r="BD95" s="6783"/>
      <c r="BE95" s="6783"/>
      <c r="BF95" s="6783"/>
      <c r="BG95" s="6783"/>
      <c r="BH95" s="6783"/>
      <c r="BI95" s="6783"/>
      <c r="BJ95" s="6783"/>
      <c r="BK95" s="6783"/>
      <c r="BL95" s="6783"/>
      <c r="BM95" s="6783"/>
      <c r="BN95" s="6783"/>
      <c r="BO95" s="6783"/>
      <c r="BP95" s="6783"/>
      <c r="BQ95" s="6783"/>
      <c r="BR95" s="6783"/>
      <c r="BS95" s="6783"/>
      <c r="BT95" s="6783"/>
      <c r="BU95" s="6783"/>
      <c r="BV95" s="6783"/>
      <c r="BW95" s="6783"/>
      <c r="BX95" s="6783"/>
      <c r="BY95" s="6783"/>
      <c r="BZ95" s="6783"/>
      <c r="CA95" s="6783"/>
    </row>
    <row r="96" spans="1:84" ht="27.75" customHeight="1">
      <c r="O96" s="462"/>
      <c r="T96" s="6783"/>
      <c r="U96" s="6783"/>
      <c r="V96" s="6783"/>
      <c r="W96" s="6783"/>
      <c r="X96" s="6783"/>
      <c r="Y96" s="6783"/>
      <c r="Z96" s="6783"/>
      <c r="AA96" s="6783"/>
      <c r="AB96" s="6783"/>
      <c r="AC96" s="6783"/>
      <c r="AD96" s="6783"/>
      <c r="AE96" s="6783"/>
      <c r="AF96" s="6783"/>
      <c r="AG96" s="6783"/>
      <c r="AH96" s="6783"/>
      <c r="AI96" s="6783"/>
      <c r="AJ96" s="6783"/>
      <c r="AK96" s="6783"/>
      <c r="AL96" s="6783"/>
      <c r="AM96" s="6783"/>
      <c r="AN96" s="6783"/>
      <c r="AO96" s="6783"/>
      <c r="AP96" s="6783"/>
      <c r="AQ96" s="6783"/>
      <c r="AR96" s="6783"/>
      <c r="AS96" s="6783"/>
      <c r="AT96" s="6783"/>
      <c r="AU96" s="6783"/>
      <c r="AV96" s="6783"/>
      <c r="AW96" s="6783"/>
      <c r="AX96" s="6783"/>
      <c r="AY96" s="6783"/>
      <c r="AZ96" s="6783"/>
      <c r="BA96" s="6783"/>
      <c r="BB96" s="6783"/>
      <c r="BC96" s="6783"/>
      <c r="BD96" s="6783"/>
      <c r="BE96" s="6783"/>
      <c r="BF96" s="6783"/>
      <c r="BG96" s="6783"/>
      <c r="BH96" s="6783"/>
      <c r="BI96" s="6783"/>
      <c r="BJ96" s="6783"/>
      <c r="BK96" s="6783"/>
      <c r="BL96" s="6783"/>
      <c r="BM96" s="6783"/>
      <c r="BN96" s="6783"/>
      <c r="BO96" s="6783"/>
      <c r="BP96" s="6783"/>
      <c r="BQ96" s="6783"/>
      <c r="BR96" s="6783"/>
      <c r="BS96" s="6783"/>
      <c r="BT96" s="6783"/>
      <c r="BU96" s="6783"/>
      <c r="BV96" s="6783"/>
      <c r="BW96" s="6783"/>
      <c r="BX96" s="6783"/>
      <c r="BY96" s="6783"/>
      <c r="BZ96" s="6783"/>
      <c r="CA96" s="6783"/>
    </row>
    <row r="97" spans="15:79" ht="39.75" customHeight="1">
      <c r="O97" s="462"/>
      <c r="T97" s="6783"/>
      <c r="U97" s="6783"/>
      <c r="V97" s="6783"/>
      <c r="W97" s="6783"/>
      <c r="X97" s="6783"/>
      <c r="Y97" s="6783"/>
      <c r="Z97" s="6783"/>
      <c r="AA97" s="6783"/>
      <c r="AB97" s="6783"/>
      <c r="AC97" s="6783"/>
      <c r="AD97" s="6783"/>
      <c r="AE97" s="6783"/>
      <c r="AF97" s="6783"/>
      <c r="AG97" s="6783"/>
      <c r="AH97" s="6783"/>
      <c r="AI97" s="6783"/>
      <c r="AJ97" s="6783"/>
      <c r="AK97" s="6783"/>
      <c r="AL97" s="6783"/>
      <c r="AM97" s="6783"/>
      <c r="AN97" s="6783"/>
      <c r="AO97" s="6783"/>
      <c r="AP97" s="6783"/>
      <c r="AQ97" s="6783"/>
      <c r="AR97" s="6783"/>
      <c r="AS97" s="6783"/>
      <c r="AT97" s="6783"/>
      <c r="AU97" s="6783"/>
      <c r="AV97" s="6783"/>
      <c r="AW97" s="6783"/>
      <c r="AX97" s="6783"/>
      <c r="AY97" s="6783"/>
      <c r="AZ97" s="6783"/>
      <c r="BA97" s="6783"/>
      <c r="BB97" s="6783"/>
      <c r="BC97" s="6783"/>
      <c r="BD97" s="6783"/>
      <c r="BE97" s="6783"/>
      <c r="BF97" s="6783"/>
      <c r="BG97" s="6783"/>
      <c r="BH97" s="6783"/>
      <c r="BI97" s="6783"/>
      <c r="BJ97" s="6783"/>
      <c r="BK97" s="6783"/>
      <c r="BL97" s="6783"/>
      <c r="BM97" s="6783"/>
      <c r="BN97" s="6783"/>
      <c r="BO97" s="6783"/>
      <c r="BP97" s="6783"/>
      <c r="BQ97" s="6783"/>
      <c r="BR97" s="6783"/>
      <c r="BS97" s="6783"/>
      <c r="BT97" s="6783"/>
      <c r="BU97" s="6783"/>
      <c r="BV97" s="6783"/>
      <c r="BW97" s="6783"/>
      <c r="BX97" s="6783"/>
      <c r="BY97" s="6783"/>
      <c r="BZ97" s="6783"/>
      <c r="CA97" s="6783"/>
    </row>
    <row r="98" spans="15:79" ht="14.25" customHeight="1">
      <c r="O98" s="462"/>
      <c r="AL98" s="2077"/>
      <c r="AM98" s="2077"/>
      <c r="AN98" s="2077"/>
      <c r="AO98" s="2077"/>
      <c r="AP98" s="2077"/>
      <c r="AQ98" s="2077"/>
      <c r="AR98" s="2077"/>
      <c r="AS98" s="2077"/>
      <c r="AT98" s="2077"/>
      <c r="AU98" s="2077"/>
      <c r="AV98" s="2077"/>
      <c r="AW98" s="2077"/>
      <c r="AX98" s="2077"/>
      <c r="AY98" s="2077"/>
      <c r="AZ98" s="2077"/>
      <c r="BA98" s="2077"/>
      <c r="BB98" s="2077"/>
      <c r="BC98" s="2077"/>
      <c r="BD98" s="2077"/>
      <c r="BE98" s="2077"/>
      <c r="BF98" s="2077"/>
      <c r="BG98" s="2077"/>
      <c r="BH98" s="2077"/>
      <c r="BI98" s="2077"/>
      <c r="BJ98" s="2077"/>
      <c r="BK98" s="2077"/>
      <c r="BL98" s="2077"/>
      <c r="BM98" s="2077"/>
      <c r="BN98" s="2077"/>
      <c r="BO98" s="2077"/>
      <c r="BP98" s="2077"/>
      <c r="BQ98" s="2077"/>
      <c r="BR98" s="2077"/>
      <c r="BS98" s="2077"/>
      <c r="BT98" s="2077"/>
      <c r="BU98" s="2077"/>
      <c r="BV98" s="2077"/>
      <c r="BW98" s="2077"/>
      <c r="BX98" s="2077"/>
      <c r="BY98" s="2077"/>
    </row>
    <row r="99" spans="15:79" ht="19.5" customHeight="1">
      <c r="O99" s="462"/>
      <c r="S99" s="1164"/>
      <c r="T99" s="6681"/>
      <c r="U99" s="6783"/>
      <c r="V99" s="6783"/>
      <c r="W99" s="6783"/>
      <c r="X99" s="6783"/>
      <c r="Y99" s="6783"/>
      <c r="Z99" s="6783"/>
      <c r="AA99" s="6783"/>
      <c r="AB99" s="6783"/>
      <c r="AC99" s="6783"/>
      <c r="AD99" s="6783"/>
      <c r="AE99" s="6783"/>
      <c r="AF99" s="6783"/>
      <c r="AG99" s="6783"/>
      <c r="AH99" s="6783"/>
      <c r="AI99" s="6783"/>
      <c r="AJ99" s="6783"/>
      <c r="AK99" s="6783"/>
      <c r="AL99" s="6783"/>
      <c r="AM99" s="6783"/>
      <c r="AN99" s="6783"/>
      <c r="AO99" s="6783"/>
      <c r="AP99" s="6783"/>
      <c r="AQ99" s="6783"/>
      <c r="AR99" s="6783"/>
      <c r="AS99" s="6783"/>
      <c r="AT99" s="6783"/>
      <c r="AU99" s="6783"/>
      <c r="AV99" s="6783"/>
      <c r="AW99" s="6783"/>
      <c r="AX99" s="6783"/>
      <c r="AY99" s="6783"/>
      <c r="AZ99" s="6783"/>
      <c r="BA99" s="6783"/>
      <c r="BB99" s="6783"/>
      <c r="BC99" s="6783"/>
      <c r="BD99" s="6783"/>
      <c r="BE99" s="6783"/>
      <c r="BF99" s="6783"/>
      <c r="BG99" s="6783"/>
      <c r="BH99" s="6783"/>
      <c r="BI99" s="6783"/>
      <c r="BJ99" s="6783"/>
      <c r="BK99" s="6783"/>
      <c r="BL99" s="6783"/>
      <c r="BM99" s="6783"/>
      <c r="BN99" s="6783"/>
      <c r="BO99" s="6783"/>
      <c r="BP99" s="6783"/>
      <c r="BQ99" s="6783"/>
      <c r="BR99" s="6783"/>
      <c r="BS99" s="6783"/>
      <c r="BT99" s="6783"/>
      <c r="BU99" s="6783"/>
      <c r="BV99" s="6783"/>
      <c r="BW99" s="6783"/>
      <c r="BX99" s="6783"/>
      <c r="BY99" s="6783"/>
      <c r="BZ99" s="6783"/>
      <c r="CA99" s="6783"/>
    </row>
    <row r="100" spans="15:79" ht="27.75" customHeight="1">
      <c r="O100" s="462"/>
      <c r="T100" s="6783"/>
      <c r="U100" s="6783"/>
      <c r="V100" s="6783"/>
      <c r="W100" s="6783"/>
      <c r="X100" s="6783"/>
      <c r="Y100" s="6783"/>
      <c r="Z100" s="6783"/>
      <c r="AA100" s="6783"/>
      <c r="AB100" s="6783"/>
      <c r="AC100" s="6783"/>
      <c r="AD100" s="6783"/>
      <c r="AE100" s="6783"/>
      <c r="AF100" s="6783"/>
      <c r="AG100" s="6783"/>
      <c r="AH100" s="6783"/>
      <c r="AI100" s="6783"/>
      <c r="AJ100" s="6783"/>
      <c r="AK100" s="6783"/>
      <c r="AL100" s="6783"/>
      <c r="AM100" s="6783"/>
      <c r="AN100" s="6783"/>
      <c r="AO100" s="6783"/>
      <c r="AP100" s="6783"/>
      <c r="AQ100" s="6783"/>
      <c r="AR100" s="6783"/>
      <c r="AS100" s="6783"/>
      <c r="AT100" s="6783"/>
      <c r="AU100" s="6783"/>
      <c r="AV100" s="6783"/>
      <c r="AW100" s="6783"/>
      <c r="AX100" s="6783"/>
      <c r="AY100" s="6783"/>
      <c r="AZ100" s="6783"/>
      <c r="BA100" s="6783"/>
      <c r="BB100" s="6783"/>
      <c r="BC100" s="6783"/>
      <c r="BD100" s="6783"/>
      <c r="BE100" s="6783"/>
      <c r="BF100" s="6783"/>
      <c r="BG100" s="6783"/>
      <c r="BH100" s="6783"/>
      <c r="BI100" s="6783"/>
      <c r="BJ100" s="6783"/>
      <c r="BK100" s="6783"/>
      <c r="BL100" s="6783"/>
      <c r="BM100" s="6783"/>
      <c r="BN100" s="6783"/>
      <c r="BO100" s="6783"/>
      <c r="BP100" s="6783"/>
      <c r="BQ100" s="6783"/>
      <c r="BR100" s="6783"/>
      <c r="BS100" s="6783"/>
      <c r="BT100" s="6783"/>
      <c r="BU100" s="6783"/>
      <c r="BV100" s="6783"/>
      <c r="BW100" s="6783"/>
      <c r="BX100" s="6783"/>
      <c r="BY100" s="6783"/>
      <c r="BZ100" s="6783"/>
      <c r="CA100" s="6783"/>
    </row>
    <row r="101" spans="15:79" ht="33.75" customHeight="1">
      <c r="T101" s="6783"/>
      <c r="U101" s="6783"/>
      <c r="V101" s="6783"/>
      <c r="W101" s="6783"/>
      <c r="X101" s="6783"/>
      <c r="Y101" s="6783"/>
      <c r="Z101" s="6783"/>
      <c r="AA101" s="6783"/>
      <c r="AB101" s="6783"/>
      <c r="AC101" s="6783"/>
      <c r="AD101" s="6783"/>
      <c r="AE101" s="6783"/>
      <c r="AF101" s="6783"/>
      <c r="AG101" s="6783"/>
      <c r="AH101" s="6783"/>
      <c r="AI101" s="6783"/>
      <c r="AJ101" s="6783"/>
      <c r="AK101" s="6783"/>
      <c r="AL101" s="6783"/>
      <c r="AM101" s="6783"/>
      <c r="AN101" s="6783"/>
      <c r="AO101" s="6783"/>
      <c r="AP101" s="6783"/>
      <c r="AQ101" s="6783"/>
      <c r="AR101" s="6783"/>
      <c r="AS101" s="6783"/>
      <c r="AT101" s="6783"/>
      <c r="AU101" s="6783"/>
      <c r="AV101" s="6783"/>
      <c r="AW101" s="6783"/>
      <c r="AX101" s="6783"/>
      <c r="AY101" s="6783"/>
      <c r="AZ101" s="6783"/>
      <c r="BA101" s="6783"/>
      <c r="BB101" s="6783"/>
      <c r="BC101" s="6783"/>
      <c r="BD101" s="6783"/>
      <c r="BE101" s="6783"/>
      <c r="BF101" s="6783"/>
      <c r="BG101" s="6783"/>
      <c r="BH101" s="6783"/>
      <c r="BI101" s="6783"/>
      <c r="BJ101" s="6783"/>
      <c r="BK101" s="6783"/>
      <c r="BL101" s="6783"/>
      <c r="BM101" s="6783"/>
      <c r="BN101" s="6783"/>
      <c r="BO101" s="6783"/>
      <c r="BP101" s="6783"/>
      <c r="BQ101" s="6783"/>
      <c r="BR101" s="6783"/>
      <c r="BS101" s="6783"/>
      <c r="BT101" s="6783"/>
      <c r="BU101" s="6783"/>
      <c r="BV101" s="6783"/>
      <c r="BW101" s="6783"/>
      <c r="BX101" s="6783"/>
      <c r="BY101" s="6783"/>
      <c r="BZ101" s="6783"/>
      <c r="CA101" s="6783"/>
    </row>
  </sheetData>
  <sheetProtection formatColumns="0" formatRows="0" insertRows="0" deleteColumns="0" deleteRows="0" sort="0" autoFilter="0"/>
  <mergeCells count="369">
    <mergeCell ref="BV85:BV86"/>
    <mergeCell ref="BW85:BW86"/>
    <mergeCell ref="BX85:BX86"/>
    <mergeCell ref="BY85:BY86"/>
    <mergeCell ref="Z85:Z86"/>
    <mergeCell ref="AA85:AA86"/>
    <mergeCell ref="AB85:AB86"/>
    <mergeCell ref="AC85:AC86"/>
    <mergeCell ref="BV49:BV50"/>
    <mergeCell ref="BW49:BW50"/>
    <mergeCell ref="BX49:BX50"/>
    <mergeCell ref="BY49:BY50"/>
    <mergeCell ref="Z49:Z50"/>
    <mergeCell ref="AA49:AA50"/>
    <mergeCell ref="AB49:AB50"/>
    <mergeCell ref="AC49:AC50"/>
    <mergeCell ref="BV73:BV74"/>
    <mergeCell ref="BW73:BW74"/>
    <mergeCell ref="BX73:BX74"/>
    <mergeCell ref="BY73:BY74"/>
    <mergeCell ref="Z73:Z74"/>
    <mergeCell ref="AA73:AA74"/>
    <mergeCell ref="AB73:AB74"/>
    <mergeCell ref="AC73:AC74"/>
    <mergeCell ref="BN85:BN86"/>
    <mergeCell ref="BO85:BO86"/>
    <mergeCell ref="BP85:BP86"/>
    <mergeCell ref="BQ85:BQ86"/>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61:BV62"/>
    <mergeCell ref="BO49:BO50"/>
    <mergeCell ref="BP49:BP50"/>
    <mergeCell ref="BQ49:BQ50"/>
    <mergeCell ref="BN61:BN62"/>
    <mergeCell ref="BO61:BO62"/>
    <mergeCell ref="BP61:BP62"/>
    <mergeCell ref="BQ61:BQ62"/>
    <mergeCell ref="BN73:BN74"/>
    <mergeCell ref="BO73:BO74"/>
    <mergeCell ref="BP73:BP74"/>
    <mergeCell ref="BQ73:BQ74"/>
    <mergeCell ref="BF85:BF86"/>
    <mergeCell ref="BG85:BG86"/>
    <mergeCell ref="BH85:BH86"/>
    <mergeCell ref="BI85:BI86"/>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G49:BG50"/>
    <mergeCell ref="BH49:BH50"/>
    <mergeCell ref="BI49:BI50"/>
    <mergeCell ref="BF61:BF62"/>
    <mergeCell ref="BG61:BG62"/>
    <mergeCell ref="BH61:BH62"/>
    <mergeCell ref="BI61:BI62"/>
    <mergeCell ref="BF73:BF74"/>
    <mergeCell ref="BG73:BG74"/>
    <mergeCell ref="BH73:BH74"/>
    <mergeCell ref="BI73:BI74"/>
    <mergeCell ref="AX85:AX86"/>
    <mergeCell ref="AY85:AY86"/>
    <mergeCell ref="AZ85:AZ86"/>
    <mergeCell ref="BA85:BA86"/>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AZ49:AZ50"/>
    <mergeCell ref="BA49:BA50"/>
    <mergeCell ref="AX61:AX62"/>
    <mergeCell ref="AY61:AY62"/>
    <mergeCell ref="AZ61:AZ62"/>
    <mergeCell ref="BA61:BA62"/>
    <mergeCell ref="AX73:AX74"/>
    <mergeCell ref="AY73:AY74"/>
    <mergeCell ref="AZ73:AZ74"/>
    <mergeCell ref="BA73:BA74"/>
    <mergeCell ref="AQ85:AQ86"/>
    <mergeCell ref="AR85:AR86"/>
    <mergeCell ref="AS85:AS86"/>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P49:AP50"/>
    <mergeCell ref="AQ49:AQ50"/>
    <mergeCell ref="AR49:AR50"/>
    <mergeCell ref="AS49:AS50"/>
    <mergeCell ref="AP61:AP62"/>
    <mergeCell ref="AQ61:AQ62"/>
    <mergeCell ref="AR61:AR62"/>
    <mergeCell ref="AS61:AS62"/>
    <mergeCell ref="AP73:AP74"/>
    <mergeCell ref="AQ73:AQ74"/>
    <mergeCell ref="AR73:AR74"/>
    <mergeCell ref="AS73:AS74"/>
    <mergeCell ref="F80:F91"/>
    <mergeCell ref="G81:G90"/>
    <mergeCell ref="H82:H89"/>
    <mergeCell ref="I83:I88"/>
    <mergeCell ref="P83:P88"/>
    <mergeCell ref="J84:J87"/>
    <mergeCell ref="Q84:Q87"/>
    <mergeCell ref="K85:K86"/>
    <mergeCell ref="CA85:CA87"/>
    <mergeCell ref="AH85:AH86"/>
    <mergeCell ref="AI85:AI86"/>
    <mergeCell ref="AJ85:AJ86"/>
    <mergeCell ref="AK85:AK86"/>
    <mergeCell ref="V80:AC80"/>
    <mergeCell ref="AD80:BZ80"/>
    <mergeCell ref="V81:AC81"/>
    <mergeCell ref="AD81:BZ81"/>
    <mergeCell ref="V82:AC82"/>
    <mergeCell ref="AD82:BZ82"/>
    <mergeCell ref="V83:AC83"/>
    <mergeCell ref="AD83:BZ83"/>
    <mergeCell ref="V84:AC84"/>
    <mergeCell ref="AD84:BZ84"/>
    <mergeCell ref="AP85:AP86"/>
    <mergeCell ref="F68:F79"/>
    <mergeCell ref="G69:G78"/>
    <mergeCell ref="H70:H77"/>
    <mergeCell ref="I71:I76"/>
    <mergeCell ref="P71:P76"/>
    <mergeCell ref="J72:J75"/>
    <mergeCell ref="Q72:Q75"/>
    <mergeCell ref="K73:K74"/>
    <mergeCell ref="CA73:CA75"/>
    <mergeCell ref="AH73:AH74"/>
    <mergeCell ref="AI73:AI74"/>
    <mergeCell ref="AJ73:AJ74"/>
    <mergeCell ref="AK73:AK74"/>
    <mergeCell ref="V68:AC68"/>
    <mergeCell ref="AD68:BZ68"/>
    <mergeCell ref="V69:AC69"/>
    <mergeCell ref="AD69:BZ69"/>
    <mergeCell ref="V70:AC70"/>
    <mergeCell ref="AD70:BZ70"/>
    <mergeCell ref="V71:AC71"/>
    <mergeCell ref="AD71:BZ71"/>
    <mergeCell ref="V72:AC72"/>
    <mergeCell ref="AD72:BZ72"/>
    <mergeCell ref="V56:AC56"/>
    <mergeCell ref="AD56:BZ56"/>
    <mergeCell ref="V57:AC57"/>
    <mergeCell ref="AD57:BZ57"/>
    <mergeCell ref="V58:AC58"/>
    <mergeCell ref="AD58:BZ58"/>
    <mergeCell ref="V59:AC59"/>
    <mergeCell ref="AD59:BZ59"/>
    <mergeCell ref="V60:AC60"/>
    <mergeCell ref="AD60:BZ60"/>
    <mergeCell ref="G57:G66"/>
    <mergeCell ref="H58:H65"/>
    <mergeCell ref="I59:I64"/>
    <mergeCell ref="P59:P64"/>
    <mergeCell ref="J60:J63"/>
    <mergeCell ref="Q60:Q63"/>
    <mergeCell ref="K61:K62"/>
    <mergeCell ref="CA61:CA63"/>
    <mergeCell ref="Z61:Z62"/>
    <mergeCell ref="AA61:AA62"/>
    <mergeCell ref="AH61:AH62"/>
    <mergeCell ref="AI61:AI62"/>
    <mergeCell ref="AJ61:AJ62"/>
    <mergeCell ref="AK61:AK62"/>
    <mergeCell ref="AB61:AB62"/>
    <mergeCell ref="AC61:AC62"/>
    <mergeCell ref="BW61:BW62"/>
    <mergeCell ref="BX61:BX62"/>
    <mergeCell ref="BY61:BY62"/>
    <mergeCell ref="T100:CA100"/>
    <mergeCell ref="T101:CA101"/>
    <mergeCell ref="S35:T35"/>
    <mergeCell ref="V35:AB35"/>
    <mergeCell ref="AD35:AJ35"/>
    <mergeCell ref="S34:T34"/>
    <mergeCell ref="V34:AB34"/>
    <mergeCell ref="AD34:AJ34"/>
    <mergeCell ref="V2:AC2"/>
    <mergeCell ref="AD2:BZ2"/>
    <mergeCell ref="V3:AC3"/>
    <mergeCell ref="AD3:BZ3"/>
    <mergeCell ref="V4:AC4"/>
    <mergeCell ref="AD4:BZ4"/>
    <mergeCell ref="V5:AC5"/>
    <mergeCell ref="AD5:BZ5"/>
    <mergeCell ref="V6:AC6"/>
    <mergeCell ref="AD6:BZ6"/>
    <mergeCell ref="V7:AC7"/>
    <mergeCell ref="AD7:BZ7"/>
    <mergeCell ref="T99:CA99"/>
    <mergeCell ref="T97:CA97"/>
    <mergeCell ref="AJ49:AJ50"/>
    <mergeCell ref="AK49:AK50"/>
    <mergeCell ref="CA49:CA51"/>
    <mergeCell ref="T95:CA95"/>
    <mergeCell ref="T96:CA96"/>
    <mergeCell ref="AA42:AB42"/>
    <mergeCell ref="AI42:AJ42"/>
    <mergeCell ref="E43:E92"/>
    <mergeCell ref="V43:AC43"/>
    <mergeCell ref="AD43:BZ43"/>
    <mergeCell ref="F44:F55"/>
    <mergeCell ref="V44:AC44"/>
    <mergeCell ref="AD44:BZ44"/>
    <mergeCell ref="G45:G54"/>
    <mergeCell ref="V45:AC45"/>
    <mergeCell ref="AD45:BZ45"/>
    <mergeCell ref="H46:H53"/>
    <mergeCell ref="V46:AC46"/>
    <mergeCell ref="AD46:BZ46"/>
    <mergeCell ref="P47:P52"/>
    <mergeCell ref="J48:J51"/>
    <mergeCell ref="Q48:Q51"/>
    <mergeCell ref="V48:AC48"/>
    <mergeCell ref="AD48:BZ48"/>
    <mergeCell ref="K49:K50"/>
    <mergeCell ref="F56:F67"/>
    <mergeCell ref="CA38:CA41"/>
    <mergeCell ref="S39:S41"/>
    <mergeCell ref="T39:T41"/>
    <mergeCell ref="V39:AB39"/>
    <mergeCell ref="AC39:AC41"/>
    <mergeCell ref="AD39:AJ39"/>
    <mergeCell ref="AK39:AK41"/>
    <mergeCell ref="BZ39:BZ41"/>
    <mergeCell ref="V40:V41"/>
    <mergeCell ref="W40:W41"/>
    <mergeCell ref="X40:Y40"/>
    <mergeCell ref="Z40:AB40"/>
    <mergeCell ref="AD40:AD41"/>
    <mergeCell ref="AL39:AR39"/>
    <mergeCell ref="AS39:AS41"/>
    <mergeCell ref="AL40:AL41"/>
    <mergeCell ref="AM40:AM41"/>
    <mergeCell ref="AN40:AO40"/>
    <mergeCell ref="AP40:AR40"/>
    <mergeCell ref="AQ41:AR41"/>
    <mergeCell ref="CA8:CA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Z38"/>
    <mergeCell ref="S26:AJ26"/>
    <mergeCell ref="S27:AJ27"/>
    <mergeCell ref="AH49:AH50"/>
    <mergeCell ref="AI49:AI50"/>
    <mergeCell ref="AL30:AR30"/>
    <mergeCell ref="AL31:AR31"/>
    <mergeCell ref="AL32:AR32"/>
    <mergeCell ref="V47:AC47"/>
    <mergeCell ref="AD47:BZ47"/>
    <mergeCell ref="AD31:AJ31"/>
    <mergeCell ref="AD32:AJ32"/>
    <mergeCell ref="AE40:AE41"/>
    <mergeCell ref="AF40:AG40"/>
    <mergeCell ref="AH40:AJ40"/>
    <mergeCell ref="AI41:AJ41"/>
    <mergeCell ref="AD37:AK37"/>
    <mergeCell ref="AL34:AR34"/>
    <mergeCell ref="AL35:AR35"/>
    <mergeCell ref="AL37:AS37"/>
    <mergeCell ref="AQ42:AR42"/>
  </mergeCells>
  <dataValidations count="8">
    <dataValidation allowBlank="1" sqref="S131159:CA131165 S196695:CA196701 S262231:CA262237 S327767:CA327773 S393303:CA393309 S458839:CA458845 S524375:CA524381 S589911:CA589917 S655447:CA655453 S720983:CA720989 S786519:CA786525 S852055:CA852061 S917591:CA917597 S983127:CA983133 S65623:CA65629"/>
    <dataValidation type="list" allowBlank="1" showInputMessage="1" errorTitle="Ошибка" error="Выберите значение из списка" prompt="Выберите значение из списка" sqref="V983124:BZ983124 V65620:BZ65620 V131156:BZ131156 V196692:BZ196692 V262228:BZ262228 V327764:BZ327764 V393300:BZ393300 V458836:BZ458836 V524372:BZ524372 V589908:BZ589908 V655444:BZ655444 V720980:BZ720980 V786516:BZ786516 V852052:BZ852052 V917588:BZ917588">
      <formula1>kind_of_cons</formula1>
    </dataValidation>
    <dataValidation type="list" allowBlank="1" showInputMessage="1" showErrorMessage="1" errorTitle="Ошибка" error="Выберите значение из списка" sqref="V983123:W983123 V65619:W65619 V131155:W131155 V196691:W196691 V262227:W262227 V327763:W327763 V393299:W393299 V458835:W458835 V524371:W524371 V589907:W589907 V655443:W655443 V720979:W720979 V786515:W786515 V852051:W852051 V917587:W917587 AD983123:AE983123 AD65619:AE65619 AD131155:AE131155 AD196691:AE196691 AD262227:AE262227 AD327763:AE327763 AD393299:AE393299 AD458835:AE458835 AD524371:AE524371 AD589907:AE589907 AD655443:AE655443 AD720979:AE720979 AD786515:AE786515 AD852051:AE852051 AD917587:AE917587">
      <formula1>kind_of_scheme_in</formula1>
    </dataValidation>
    <dataValidation type="textLength" operator="lessThanOrEqual" allowBlank="1" showInputMessage="1" showErrorMessage="1" errorTitle="Ошибка" error="Допускается ввод не более 900 символов!" sqref="CA65615:CA65622 CA131151:CA131158 CA196687:CA196694 CA262223:CA262230 CA327759:CA327766 CA393295:CA393302 CA458831:CA458838 CA524367:CA524374 CA589903:CA589910 CA655439:CA655446 CA720975:CA720982 CA786511:CA786518 CA852047:CA852054 CA917583:CA917590 CA983119:CA983126">
      <formula1>900</formula1>
    </dataValidation>
    <dataValidation type="list" allowBlank="1" showInputMessage="1" showErrorMessage="1" errorTitle="Ошибка" error="Выберите значение из списка" sqref="T65621 T131157 T196693 T262229 T327765 T393301 T458837 T524373 T589909 T655445 T720981 T786517 T852053 T917589 T9831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21 Z131157 Z196693 Z262229 Z327765 Z393301 Z458837 Z524373 Z589909 Z655445 Z720981 Z786517 Z852053 Z917589 Z983125 AB65621 AB131157 AB196693 AB262229 AB327765 AB393301 AB458837 AB524373 AB589909 AB655445 AB720981 AB786517 AB852053 AB917589 AB983125 Z8 AH65621 AH131157 AH196693 AH262229 AH327765 AH393301 AH458837 AH524373 AH589909 AH655445 AH720981 AH786517 AH852053 AH917589 AH983125 AJ65621 AJ131157 AJ196693 AJ262229 AJ327765 AJ393301 AJ458837 AJ524373 AJ589909 AJ655445 AJ720981 AJ786517 AJ852053 AJ917589 AJ983125 AJ49 AH49 AH8 AJ8 AB8 AH17 AJ17 Z49 AB49 Z61 AB61 AH61 AJ61 Z73 AB73 AH73 AJ73 Z85 AB85 AH85 AJ85 AP8 AR8 AP49 AR49 AP61 AR61 AP73 AR73 AP85 AR85 AX8 AZ8 AX49 AZ49 AX61 AZ61 AX73 AZ73 AX85 AZ85 BF8 BH8 BF49 BH49 BF61 BH61 BF73 BH73 BF85 BH85 BN8 BP8 BN49 BP49 BN61 BP61 BN73 BP73 BN85 BP85 BV8 BX8 BV49 BX49 BV61 BX61 BV73 BX73 BV85 BX85"/>
    <dataValidation allowBlank="1" showInputMessage="1" showErrorMessage="1" prompt="Для выбора выполните двойной щелчок левой клавиши мыши по соответствующей ячейке." sqref="AA65621 AA131157 AA196693 AA262229 AA327765 AA393301 AA458837 AA524373 AA589909 AA655445 AA720981 AA786517 AA852053 AA917589 AA983125 AC131157 AC458837 AC196693 AC262229 AC327765 AC393301 AC524373 AC589909 AC655445 AC720981 AC786517 AC852053 AC917589 AC983125 AC65621 AI65621 AI131157 AI196693 AI262229 AI327765 AI393301 AI458837 AI524373 AI589909 AI655445 AI720981 AI786517 AI852053 AI917589 AI983125 AK393301:BY393301 AK49 AQ49 AS49 AY49 BA49 BG49 BI49 BO49 BQ49 BW49 BY49 AK524373:BY524373 AK8 AQ8 AS8 AY8 BA8 BG8 BI8 BO8 BQ8 BW8 BY8 AK589909:BY589909 AK655445:BY655445 AK17 AK720981:BY720981 AK786517:BY786517 AK852053:BY852053 AK917589:BY917589 AK983125:BY983125 AK65621:BY65621 AK131157:BY131157 AK458837:BY458837 AI49 AK196693:BY196693 AI8 AC8 AA8 AI17 AK262229:BY262229 AA49 AC49 AK327765:BY327765 AA61 AC61 AI61 AK61 AQ61 AS61 AY61 BA61 BG61 BI61 BO61 BQ61 BW61 BY61 AA73 AC73 AI73 AK73 AQ73 AS73 AY73 BA73 BG73 BI73 BO73 BQ73 BW73 BY73 AA85 AC85 AI85 AK85 AQ85 AS85 AY85 BA85 BG85 BI85 BO85 BQ85 BW85 BY85"/>
    <dataValidation allowBlank="1" promptTitle="checkPeriodRange" sqref="Y65622 Y131158 Y196694 Y262230 Y327766 Y393302 Y458838 Y524374 Y589910 Y655446 Y720982 Y786518 Y852054 Y917590 Y983126 Y9 AG65622 AG131158 AG196694 AG262230 AG327766 AG393302 AG458838 AG524374 AG589910 AG655446 AG720982 AG786518 AG852054 AG917590 AG983126 AG9 AG50 AG18 Y50 Y62 AG62 Y74 AG74 Y86 AG86 AO9 AO50 AO62 AO74 AO86 AW9 AW50 AW62 AW74 AW86 BE9 BE50 BE62 BE74 BE86 BM9 BM50 BM62 BM74 BM86 BU9 BU50 BU62 BU74 BU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3" hidden="1" customWidth="1"/>
    <col min="17" max="18" width="3.7109375" style="2075" customWidth="1"/>
    <col min="19" max="19" width="12.7109375" style="2076" customWidth="1"/>
    <col min="20" max="20" width="32" style="2042" customWidth="1"/>
    <col min="21" max="21" width="0.140625" style="2042" customWidth="1"/>
    <col min="22" max="22" width="24.7109375" style="2042" hidden="1" customWidth="1"/>
    <col min="23" max="23" width="0.140625" style="2042" hidden="1" customWidth="1"/>
    <col min="24" max="25" width="24.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24.7109375" style="2042" customWidth="1"/>
    <col min="31" max="31" width="0.140625" style="2042" customWidth="1"/>
    <col min="32" max="33" width="24.7109375" style="2042" customWidth="1"/>
    <col min="34" max="34" width="11.7109375" style="2042" customWidth="1"/>
    <col min="35" max="35" width="3.7109375" style="2042" customWidth="1"/>
    <col min="36" max="36" width="11.7109375" style="2042" customWidth="1"/>
    <col min="37" max="37" width="8.5703125" style="2042" hidden="1" customWidth="1"/>
    <col min="38" max="38" width="4.7109375" style="2042" customWidth="1"/>
    <col min="39" max="39" width="115.7109375" style="2042" customWidth="1"/>
    <col min="40" max="41" width="10.5703125" style="1817"/>
    <col min="42" max="42" width="11.140625" style="1817" customWidth="1"/>
    <col min="43" max="44" width="10.5703125" style="1817"/>
  </cols>
  <sheetData>
    <row r="1" spans="1:44" ht="14.25" hidden="1" customHeight="1">
      <c r="A1" s="1780"/>
      <c r="Y1" s="254"/>
      <c r="Z1" s="254"/>
      <c r="AG1" s="254"/>
      <c r="AH1" s="254"/>
    </row>
    <row r="2" spans="1:44" ht="21" hidden="1" customHeight="1">
      <c r="A2" s="1279"/>
      <c r="B2" s="1279"/>
      <c r="C2" s="1279"/>
      <c r="D2" s="1279"/>
      <c r="E2" s="6763">
        <v>1</v>
      </c>
      <c r="F2" s="1279"/>
      <c r="G2" s="1279"/>
      <c r="H2" s="1279"/>
      <c r="I2" s="1279"/>
      <c r="J2" s="1279"/>
      <c r="K2" s="1279"/>
      <c r="L2" s="1280"/>
      <c r="M2" s="1281"/>
      <c r="N2" s="1281"/>
      <c r="O2" s="1281"/>
      <c r="P2" s="286"/>
      <c r="Q2" s="285"/>
      <c r="R2" s="280"/>
      <c r="S2" s="1253"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51"/>
      <c r="AM2" s="1177" t="s">
        <v>516</v>
      </c>
      <c r="AO2" s="426"/>
      <c r="AP2" s="426" t="str">
        <f t="shared" ref="AP2:AP15" si="0">IF(T2="","",T2)</f>
        <v>Наименование тарифа</v>
      </c>
      <c r="AQ2" s="426"/>
      <c r="AR2" s="426"/>
    </row>
    <row r="3" spans="1:44" ht="21" hidden="1" customHeight="1">
      <c r="A3" s="1279"/>
      <c r="B3" s="1279"/>
      <c r="C3" s="1279"/>
      <c r="D3" s="1279"/>
      <c r="E3" s="6764"/>
      <c r="F3" s="6763">
        <v>1</v>
      </c>
      <c r="G3" s="1279"/>
      <c r="H3" s="1279"/>
      <c r="I3" s="1279"/>
      <c r="J3" s="1279"/>
      <c r="K3" s="1279"/>
      <c r="L3" s="1280"/>
      <c r="M3" s="1281"/>
      <c r="N3" s="1281"/>
      <c r="O3" s="1281"/>
      <c r="P3" s="1249"/>
      <c r="Q3" s="277"/>
      <c r="R3" s="278"/>
      <c r="S3" s="1253"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51"/>
      <c r="AM3" s="1177" t="s">
        <v>518</v>
      </c>
      <c r="AO3" s="426"/>
      <c r="AP3" s="426" t="str">
        <f t="shared" si="0"/>
        <v>Территория действия тарифа</v>
      </c>
      <c r="AQ3" s="426"/>
      <c r="AR3" s="426"/>
    </row>
    <row r="4" spans="1:44" ht="23.25" hidden="1" customHeight="1">
      <c r="A4" s="1279"/>
      <c r="B4" s="1279"/>
      <c r="C4" s="1279"/>
      <c r="D4" s="1279"/>
      <c r="E4" s="6764"/>
      <c r="F4" s="6764"/>
      <c r="G4" s="6763">
        <v>1</v>
      </c>
      <c r="H4" s="1279"/>
      <c r="I4" s="1279"/>
      <c r="J4" s="1279"/>
      <c r="K4" s="1279"/>
      <c r="L4" s="1280"/>
      <c r="M4" s="1281"/>
      <c r="N4" s="1281"/>
      <c r="O4" s="1281"/>
      <c r="P4" s="279"/>
      <c r="Q4" s="277"/>
      <c r="R4" s="278"/>
      <c r="S4" s="1253"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51"/>
      <c r="AM4" s="1177" t="s">
        <v>520</v>
      </c>
      <c r="AO4" s="426"/>
      <c r="AP4" s="426" t="str">
        <f t="shared" si="0"/>
        <v xml:space="preserve">Наименование системы теплоснабжения </v>
      </c>
      <c r="AQ4" s="426"/>
      <c r="AR4" s="426"/>
    </row>
    <row r="5" spans="1:44" ht="21" hidden="1" customHeight="1">
      <c r="A5" s="1279"/>
      <c r="B5" s="1279"/>
      <c r="C5" s="1279"/>
      <c r="D5" s="1279"/>
      <c r="E5" s="6764"/>
      <c r="F5" s="6764"/>
      <c r="G5" s="6764"/>
      <c r="H5" s="6763">
        <v>1</v>
      </c>
      <c r="I5" s="1279"/>
      <c r="J5" s="1279"/>
      <c r="K5" s="1279"/>
      <c r="L5" s="1280"/>
      <c r="M5" s="1281"/>
      <c r="N5" s="1281"/>
      <c r="O5" s="1281"/>
      <c r="P5" s="279"/>
      <c r="Q5" s="277"/>
      <c r="R5" s="278"/>
      <c r="S5" s="1253"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51"/>
      <c r="AM5" s="1177" t="s">
        <v>522</v>
      </c>
      <c r="AO5" s="426"/>
      <c r="AP5" s="426" t="str">
        <f t="shared" si="0"/>
        <v xml:space="preserve">Источник тепловой энергии  </v>
      </c>
      <c r="AQ5" s="426"/>
      <c r="AR5" s="426"/>
    </row>
    <row r="6" spans="1:44" ht="14.25" hidden="1" customHeight="1">
      <c r="A6" s="1279"/>
      <c r="B6" s="1279"/>
      <c r="C6" s="1279"/>
      <c r="D6" s="1279"/>
      <c r="E6" s="6764"/>
      <c r="F6" s="6764"/>
      <c r="G6" s="6764"/>
      <c r="H6" s="6764"/>
      <c r="I6" s="6761" t="e">
        <f>S5&amp;".1"</f>
        <v>#N/A</v>
      </c>
      <c r="J6" s="1279"/>
      <c r="K6" s="1279"/>
      <c r="L6" s="1280" t="s">
        <v>523</v>
      </c>
      <c r="M6" s="462"/>
      <c r="P6" s="6762">
        <v>1</v>
      </c>
      <c r="Q6" s="1248"/>
      <c r="R6" s="281"/>
      <c r="S6" s="949"/>
      <c r="T6" s="1299"/>
      <c r="U6" s="1300"/>
      <c r="V6" s="6790"/>
      <c r="W6" s="6791"/>
      <c r="X6" s="6791"/>
      <c r="Y6" s="6791"/>
      <c r="Z6" s="6791"/>
      <c r="AA6" s="6791"/>
      <c r="AB6" s="6791"/>
      <c r="AC6" s="6792"/>
      <c r="AD6" s="6790"/>
      <c r="AE6" s="6791"/>
      <c r="AF6" s="6791"/>
      <c r="AG6" s="6791"/>
      <c r="AH6" s="6791"/>
      <c r="AI6" s="6791"/>
      <c r="AJ6" s="6791"/>
      <c r="AK6" s="6791"/>
      <c r="AL6" s="6792"/>
      <c r="AM6" s="1301"/>
      <c r="AO6" s="426"/>
      <c r="AP6" s="426" t="str">
        <f t="shared" si="0"/>
        <v/>
      </c>
      <c r="AQ6" s="426"/>
      <c r="AR6" s="426"/>
    </row>
    <row r="7" spans="1:44" ht="21" hidden="1" customHeight="1">
      <c r="A7" s="1279"/>
      <c r="B7" s="1279"/>
      <c r="C7" s="1279"/>
      <c r="D7" s="1279"/>
      <c r="E7" s="6764"/>
      <c r="F7" s="6764"/>
      <c r="G7" s="6764"/>
      <c r="H7" s="6764"/>
      <c r="I7" s="6784"/>
      <c r="J7" s="6761" t="e">
        <f>I6&amp;".1"</f>
        <v>#N/A</v>
      </c>
      <c r="K7" s="1279"/>
      <c r="L7" s="1280" t="s">
        <v>526</v>
      </c>
      <c r="M7" s="462"/>
      <c r="N7" s="1282"/>
      <c r="P7" s="6762"/>
      <c r="Q7" s="6762">
        <v>1</v>
      </c>
      <c r="R7" s="282"/>
      <c r="S7" s="1253" t="e">
        <f>$J7</f>
        <v>#N/A</v>
      </c>
      <c r="T7" s="205" t="s">
        <v>527</v>
      </c>
      <c r="U7" s="219"/>
      <c r="V7" s="6752"/>
      <c r="W7" s="6753"/>
      <c r="X7" s="6753"/>
      <c r="Y7" s="6753"/>
      <c r="Z7" s="6753"/>
      <c r="AA7" s="6753"/>
      <c r="AB7" s="6753"/>
      <c r="AC7" s="6754"/>
      <c r="AD7" s="6752"/>
      <c r="AE7" s="6753"/>
      <c r="AF7" s="6753"/>
      <c r="AG7" s="6753"/>
      <c r="AH7" s="6753"/>
      <c r="AI7" s="6753"/>
      <c r="AJ7" s="6753"/>
      <c r="AK7" s="6753"/>
      <c r="AL7" s="6754"/>
      <c r="AM7" s="1177" t="s">
        <v>528</v>
      </c>
      <c r="AO7" s="426"/>
      <c r="AP7" s="426" t="str">
        <f t="shared" si="0"/>
        <v>Группа потребителей</v>
      </c>
      <c r="AQ7" s="426"/>
      <c r="AR7" s="426"/>
    </row>
    <row r="8" spans="1:4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53" t="e">
        <f>$K8</f>
        <v>#N/A</v>
      </c>
      <c r="T8" s="1264"/>
      <c r="U8" s="219"/>
      <c r="V8" s="668"/>
      <c r="W8" s="251"/>
      <c r="X8" s="668"/>
      <c r="Y8" s="1176"/>
      <c r="Z8" s="6766"/>
      <c r="AA8" s="6610" t="s">
        <v>61</v>
      </c>
      <c r="AB8" s="6766"/>
      <c r="AC8" s="6610" t="s">
        <v>61</v>
      </c>
      <c r="AD8" s="668"/>
      <c r="AE8" s="251"/>
      <c r="AF8" s="668"/>
      <c r="AG8" s="1176"/>
      <c r="AH8" s="6766"/>
      <c r="AI8" s="6610" t="s">
        <v>61</v>
      </c>
      <c r="AJ8" s="6766"/>
      <c r="AK8" s="6610" t="s">
        <v>61</v>
      </c>
      <c r="AL8" s="251"/>
      <c r="AM8" s="6758" t="s">
        <v>530</v>
      </c>
      <c r="AN8" s="437" t="e">
        <f ca="1">STRCHECKDATE(V9:AL9)</f>
        <v>#NAME?</v>
      </c>
      <c r="AO8" s="426"/>
      <c r="AP8" s="426" t="str">
        <f t="shared" si="0"/>
        <v/>
      </c>
      <c r="AQ8" s="426"/>
      <c r="AR8" s="426"/>
    </row>
    <row r="9" spans="1:44" ht="14.25" hidden="1" customHeight="1">
      <c r="A9" s="1279"/>
      <c r="B9" s="1279"/>
      <c r="C9" s="1279"/>
      <c r="D9" s="1279"/>
      <c r="E9" s="6764"/>
      <c r="F9" s="6764"/>
      <c r="G9" s="6764"/>
      <c r="H9" s="6764"/>
      <c r="I9" s="6784"/>
      <c r="J9" s="6784"/>
      <c r="K9" s="6761"/>
      <c r="L9" s="1280"/>
      <c r="M9" s="462"/>
      <c r="N9" s="1282"/>
      <c r="O9" s="1282"/>
      <c r="P9" s="6762"/>
      <c r="Q9" s="6762"/>
      <c r="R9" s="282"/>
      <c r="S9" s="1259"/>
      <c r="T9" s="219"/>
      <c r="U9" s="219"/>
      <c r="V9" s="251"/>
      <c r="W9" s="251"/>
      <c r="X9" s="251"/>
      <c r="Y9" s="255" t="str">
        <f>Z8&amp;"-"&amp;AB8</f>
        <v>-</v>
      </c>
      <c r="Z9" s="6767"/>
      <c r="AA9" s="6610"/>
      <c r="AB9" s="6767"/>
      <c r="AC9" s="6610"/>
      <c r="AD9" s="251"/>
      <c r="AE9" s="251"/>
      <c r="AF9" s="251"/>
      <c r="AG9" s="255" t="str">
        <f>AH8&amp;"-"&amp;AJ8</f>
        <v>-</v>
      </c>
      <c r="AH9" s="6767"/>
      <c r="AI9" s="6610"/>
      <c r="AJ9" s="6767"/>
      <c r="AK9" s="6610"/>
      <c r="AL9" s="251"/>
      <c r="AM9" s="6759"/>
      <c r="AO9" s="426"/>
      <c r="AP9" s="426" t="str">
        <f t="shared" si="0"/>
        <v/>
      </c>
      <c r="AQ9" s="426"/>
      <c r="AR9" s="426"/>
    </row>
    <row r="10" spans="1:44" ht="15" hidden="1" customHeight="1">
      <c r="A10" s="1279"/>
      <c r="B10" s="1279"/>
      <c r="C10" s="1279"/>
      <c r="D10" s="1279"/>
      <c r="E10" s="6764"/>
      <c r="F10" s="6764"/>
      <c r="G10" s="6764"/>
      <c r="H10" s="6764"/>
      <c r="I10" s="6784"/>
      <c r="J10" s="6761"/>
      <c r="K10" s="1279"/>
      <c r="L10" s="1280"/>
      <c r="M10" s="462"/>
      <c r="N10" s="1282"/>
      <c r="P10" s="6762"/>
      <c r="Q10" s="6762"/>
      <c r="R10" s="281"/>
      <c r="S10" s="1198"/>
      <c r="T10" s="206" t="s">
        <v>531</v>
      </c>
      <c r="U10" s="295"/>
      <c r="V10" s="295"/>
      <c r="W10" s="295"/>
      <c r="X10" s="295"/>
      <c r="Y10" s="295"/>
      <c r="Z10" s="295"/>
      <c r="AA10" s="295"/>
      <c r="AB10" s="295"/>
      <c r="AC10" s="295"/>
      <c r="AD10" s="295"/>
      <c r="AE10" s="295"/>
      <c r="AF10" s="295"/>
      <c r="AG10" s="295"/>
      <c r="AH10" s="295"/>
      <c r="AI10" s="295"/>
      <c r="AJ10" s="295"/>
      <c r="AK10" s="295"/>
      <c r="AL10" s="250"/>
      <c r="AM10" s="6760"/>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6764"/>
      <c r="F11" s="6764"/>
      <c r="G11" s="6764"/>
      <c r="H11" s="6764"/>
      <c r="I11" s="6761"/>
      <c r="J11" s="1279"/>
      <c r="K11" s="1279"/>
      <c r="L11" s="1280"/>
      <c r="M11" s="462"/>
      <c r="P11" s="6762"/>
      <c r="Q11" s="1248"/>
      <c r="R11" s="281"/>
      <c r="S11" s="1198"/>
      <c r="T11" s="292" t="s">
        <v>532</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6764"/>
      <c r="F12" s="6764"/>
      <c r="G12" s="6764"/>
      <c r="H12" s="676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067" customFormat="1" ht="14.2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067" customFormat="1" ht="14.2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067" customFormat="1" ht="14.2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6768"/>
      <c r="AI17" s="6769" t="s">
        <v>61</v>
      </c>
      <c r="AJ17" s="6768"/>
      <c r="AK17" s="6769" t="s">
        <v>61</v>
      </c>
    </row>
    <row r="18" spans="1:44" ht="14.25" hidden="1" customHeight="1">
      <c r="AD18" s="1276"/>
      <c r="AE18" s="1276"/>
      <c r="AF18" s="1276"/>
      <c r="AG18" s="255" t="str">
        <f>AH17&amp;"-"&amp;AJ17</f>
        <v>-</v>
      </c>
      <c r="AH18" s="6769"/>
      <c r="AI18" s="6769"/>
      <c r="AJ18" s="6769"/>
      <c r="AK18" s="6769"/>
    </row>
    <row r="19" spans="1:44" ht="14.25" hidden="1" customHeight="1">
      <c r="AK19" s="254"/>
    </row>
    <row r="20" spans="1:44" s="1830" customFormat="1" ht="22.5" hidden="1" customHeight="1">
      <c r="L20" s="1246"/>
      <c r="M20" s="1278"/>
      <c r="N20" s="1278"/>
      <c r="O20" s="1283" t="s">
        <v>534</v>
      </c>
      <c r="P20" s="1278"/>
      <c r="Q20" s="1287"/>
      <c r="R20" s="1287"/>
      <c r="S20" s="648"/>
      <c r="Z20" s="1283"/>
      <c r="AB20" s="1283"/>
      <c r="AC20" s="1282"/>
      <c r="AH20" s="1283"/>
      <c r="AJ20" s="1283"/>
      <c r="AK20" s="1282"/>
      <c r="AN20" s="437"/>
      <c r="AO20" s="437"/>
      <c r="AP20" s="437"/>
      <c r="AQ20" s="437"/>
      <c r="AR20" s="437"/>
    </row>
    <row r="21" spans="1:44" s="1830" customFormat="1" ht="14.25" hidden="1" customHeight="1">
      <c r="L21" s="1246"/>
      <c r="M21" s="1278"/>
      <c r="N21" s="1278"/>
      <c r="O21" s="1278"/>
      <c r="P21" s="1278"/>
      <c r="Q21" s="1287"/>
      <c r="R21" s="1287"/>
      <c r="S21" s="648"/>
      <c r="AC21" s="1282"/>
      <c r="AK21" s="1282"/>
      <c r="AN21" s="437"/>
      <c r="AO21" s="437"/>
      <c r="AP21" s="437"/>
      <c r="AQ21" s="437"/>
      <c r="AR21" s="437"/>
    </row>
    <row r="22" spans="1:44" s="1830" customFormat="1" ht="14.2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670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707"/>
      <c r="U26" s="6707"/>
      <c r="V26" s="6707"/>
      <c r="W26" s="6707"/>
      <c r="X26" s="6707"/>
      <c r="Y26" s="6707"/>
      <c r="Z26" s="6707"/>
      <c r="AA26" s="6707"/>
      <c r="AB26" s="6707"/>
      <c r="AC26" s="6707"/>
      <c r="AD26" s="6707"/>
      <c r="AE26" s="6707"/>
      <c r="AF26" s="6707"/>
      <c r="AG26" s="6707"/>
      <c r="AH26" s="6707"/>
      <c r="AI26" s="6707"/>
      <c r="AJ26" s="6707"/>
      <c r="AK26" s="1152"/>
    </row>
    <row r="27" spans="1:4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253"/>
      <c r="AM29" s="200"/>
      <c r="AN29" s="296"/>
      <c r="AO29" s="296"/>
      <c r="AP29" s="296"/>
      <c r="AQ29" s="296"/>
      <c r="AR29" s="296"/>
    </row>
    <row r="30" spans="1:4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253"/>
      <c r="AM30" s="200"/>
      <c r="AN30" s="296"/>
      <c r="AO30" s="296"/>
      <c r="AP30" s="296"/>
      <c r="AQ30" s="296"/>
      <c r="AR30" s="296"/>
    </row>
    <row r="31" spans="1:4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253"/>
      <c r="AM31" s="200"/>
      <c r="AN31" s="296"/>
      <c r="AO31" s="296"/>
      <c r="AP31" s="296"/>
      <c r="AQ31" s="296"/>
      <c r="AR31" s="296"/>
    </row>
    <row r="32" spans="1:4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253"/>
      <c r="AM34" s="200"/>
      <c r="AN34" s="296"/>
      <c r="AO34" s="296"/>
      <c r="AP34" s="296"/>
      <c r="AQ34" s="296"/>
      <c r="AR34" s="296"/>
    </row>
    <row r="35" spans="1:44" s="2072" customFormat="1" ht="18.7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253"/>
      <c r="AM35" s="200"/>
      <c r="AN35" s="296"/>
      <c r="AO35" s="296"/>
      <c r="AP35" s="296"/>
      <c r="AQ35" s="296"/>
      <c r="AR35" s="296"/>
    </row>
    <row r="36" spans="1:44" s="207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544</v>
      </c>
      <c r="AD36" s="253"/>
      <c r="AE36" s="253"/>
      <c r="AF36" s="253"/>
      <c r="AG36" s="253"/>
      <c r="AH36" s="253"/>
      <c r="AI36" s="253"/>
      <c r="AJ36" s="253"/>
      <c r="AK36" s="198" t="s">
        <v>544</v>
      </c>
      <c r="AN36" s="296"/>
      <c r="AO36" s="296"/>
      <c r="AP36" s="296"/>
      <c r="AQ36" s="296"/>
      <c r="AR36" s="296"/>
    </row>
    <row r="37" spans="1:4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row>
    <row r="38" spans="1:4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c r="AM38" s="6629" t="s">
        <v>419</v>
      </c>
    </row>
    <row r="39" spans="1:44" ht="14.25" customHeight="1">
      <c r="Q39" s="305"/>
      <c r="R39" s="305"/>
      <c r="S39" s="6771" t="s">
        <v>87</v>
      </c>
      <c r="T39" s="6723" t="s">
        <v>545</v>
      </c>
      <c r="U39" s="220"/>
      <c r="V39" s="6772" t="s">
        <v>546</v>
      </c>
      <c r="W39" s="6773"/>
      <c r="X39" s="6773"/>
      <c r="Y39" s="6773"/>
      <c r="Z39" s="6773"/>
      <c r="AA39" s="6773"/>
      <c r="AB39" s="6774"/>
      <c r="AC39" s="6775" t="s">
        <v>547</v>
      </c>
      <c r="AD39" s="6772" t="s">
        <v>546</v>
      </c>
      <c r="AE39" s="6773"/>
      <c r="AF39" s="6773"/>
      <c r="AG39" s="6773"/>
      <c r="AH39" s="6773"/>
      <c r="AI39" s="6773"/>
      <c r="AJ39" s="6774"/>
      <c r="AK39" s="6775" t="s">
        <v>548</v>
      </c>
      <c r="AL39" s="6778" t="s">
        <v>549</v>
      </c>
      <c r="AM39" s="6629"/>
    </row>
    <row r="40" spans="1:44" ht="33.75" customHeight="1">
      <c r="Q40" s="305"/>
      <c r="R40" s="305"/>
      <c r="S40" s="6771"/>
      <c r="T40" s="6723"/>
      <c r="U40" s="938"/>
      <c r="V40" s="6693" t="s">
        <v>550</v>
      </c>
      <c r="W40" s="6781"/>
      <c r="X40" s="6600" t="s">
        <v>552</v>
      </c>
      <c r="Y40" s="6599"/>
      <c r="Z40" s="6600" t="s">
        <v>553</v>
      </c>
      <c r="AA40" s="6605"/>
      <c r="AB40" s="6599"/>
      <c r="AC40" s="6776"/>
      <c r="AD40" s="6693" t="s">
        <v>550</v>
      </c>
      <c r="AE40" s="6781"/>
      <c r="AF40" s="6600" t="s">
        <v>552</v>
      </c>
      <c r="AG40" s="6599"/>
      <c r="AH40" s="6600" t="s">
        <v>553</v>
      </c>
      <c r="AI40" s="6605"/>
      <c r="AJ40" s="6599"/>
      <c r="AK40" s="6776"/>
      <c r="AL40" s="6779"/>
      <c r="AM40" s="6629"/>
    </row>
    <row r="41" spans="1:44" ht="33.7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Q41" s="305"/>
      <c r="R41" s="305"/>
      <c r="S41" s="6771"/>
      <c r="T41" s="6723"/>
      <c r="U41" s="221"/>
      <c r="V41" s="6742"/>
      <c r="W41" s="6782"/>
      <c r="X41" s="1128" t="s">
        <v>561</v>
      </c>
      <c r="Y41" s="1128" t="s">
        <v>562</v>
      </c>
      <c r="Z41" s="1255" t="s">
        <v>563</v>
      </c>
      <c r="AA41" s="6731" t="s">
        <v>564</v>
      </c>
      <c r="AB41" s="6733"/>
      <c r="AC41" s="6777"/>
      <c r="AD41" s="6742"/>
      <c r="AE41" s="6782"/>
      <c r="AF41" s="1128" t="s">
        <v>561</v>
      </c>
      <c r="AG41" s="1128" t="s">
        <v>562</v>
      </c>
      <c r="AH41" s="1255" t="s">
        <v>563</v>
      </c>
      <c r="AI41" s="6731" t="s">
        <v>564</v>
      </c>
      <c r="AJ41" s="6733"/>
      <c r="AK41" s="6777"/>
      <c r="AL41" s="6780"/>
      <c r="AM41" s="6629"/>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252">
        <f ca="1">OFFSET(V42,0,-1)+1</f>
        <v>3</v>
      </c>
      <c r="W42" s="1252"/>
      <c r="X42" s="1252">
        <f ca="1">OFFSET(X42,0,-1)+1</f>
        <v>1</v>
      </c>
      <c r="Y42" s="1252">
        <f ca="1">OFFSET(Y42,0,-1)+1</f>
        <v>2</v>
      </c>
      <c r="Z42" s="1252">
        <f ca="1">OFFSET(Z42,0,-1)+1</f>
        <v>3</v>
      </c>
      <c r="AA42" s="6770">
        <f ca="1">OFFSET(AA42,0,-1)+1</f>
        <v>4</v>
      </c>
      <c r="AB42" s="6770"/>
      <c r="AC42" s="1252">
        <f ca="1">OFFSET(AC42,0,-2)+1</f>
        <v>5</v>
      </c>
      <c r="AD42" s="1252">
        <f ca="1">OFFSET(AD42,0,-1)+1</f>
        <v>6</v>
      </c>
      <c r="AE42" s="1252"/>
      <c r="AF42" s="1252">
        <f ca="1">OFFSET(AF42,0,-1)+1</f>
        <v>1</v>
      </c>
      <c r="AG42" s="1252">
        <f ca="1">OFFSET(AG42,0,-1)+1</f>
        <v>2</v>
      </c>
      <c r="AH42" s="1252">
        <f ca="1">OFFSET(AH42,0,-1)+1</f>
        <v>3</v>
      </c>
      <c r="AI42" s="6770">
        <f ca="1">OFFSET(AI42,0,-1)+1</f>
        <v>4</v>
      </c>
      <c r="AJ42" s="6770"/>
      <c r="AK42" s="1252">
        <f ca="1">OFFSET(AK42,0,-2)+1</f>
        <v>5</v>
      </c>
      <c r="AL42" s="1154">
        <f ca="1">OFFSET(AL42,0,-1)</f>
        <v>5</v>
      </c>
      <c r="AM42" s="1252">
        <f ca="1">OFFSET(AM42,0,-1)+1</f>
        <v>6</v>
      </c>
      <c r="AN42" s="437"/>
      <c r="AO42" s="437"/>
      <c r="AP42" s="437"/>
      <c r="AQ42" s="437"/>
      <c r="AR42" s="437"/>
    </row>
    <row r="43" spans="1:44" ht="21" customHeight="1">
      <c r="A43" s="1279" t="s">
        <v>310</v>
      </c>
      <c r="B43" s="1279"/>
      <c r="C43" s="1279"/>
      <c r="D43" s="1279"/>
      <c r="E43" s="676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189</v>
      </c>
      <c r="U43" s="219"/>
      <c r="V43" s="6749"/>
      <c r="W43" s="6750"/>
      <c r="X43" s="6750"/>
      <c r="Y43" s="6750"/>
      <c r="Z43" s="6750"/>
      <c r="AA43" s="6750"/>
      <c r="AB43" s="6750"/>
      <c r="AC43" s="6751"/>
      <c r="AD43" s="6749" t="str">
        <f>INDEX(PT_DIFFERENTIATION_NTAR,MATCH(A43,PT_DIFFERENTIATION_NTAR_ID,0))</f>
        <v/>
      </c>
      <c r="AE43" s="6750"/>
      <c r="AF43" s="6750"/>
      <c r="AG43" s="6750"/>
      <c r="AH43" s="6750"/>
      <c r="AI43" s="6750"/>
      <c r="AJ43" s="6750"/>
      <c r="AK43" s="6750"/>
      <c r="AL43" s="675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310</v>
      </c>
      <c r="B44" s="1279" t="s">
        <v>311</v>
      </c>
      <c r="C44" s="1279"/>
      <c r="D44" s="1279"/>
      <c r="E44" s="6764"/>
      <c r="F44" s="6763">
        <v>1</v>
      </c>
      <c r="G44" s="1279"/>
      <c r="H44" s="1279"/>
      <c r="I44" s="1279"/>
      <c r="J44" s="1279"/>
      <c r="K44" s="1279"/>
      <c r="L44" s="1280"/>
      <c r="M44" s="1281"/>
      <c r="N44" s="1281"/>
      <c r="O44" s="1281"/>
      <c r="P44" s="1249"/>
      <c r="Q44" s="277"/>
      <c r="R44" s="278"/>
      <c r="S44" s="1253" t="str">
        <f>INDEX(PT_DIFFERENTIATION_NUM_TER,MATCH(B44,PT_DIFFERENTIATION_TER_ID,0))</f>
        <v>.</v>
      </c>
      <c r="T44" s="229" t="s">
        <v>517</v>
      </c>
      <c r="U44" s="219"/>
      <c r="V44" s="6749"/>
      <c r="W44" s="6750"/>
      <c r="X44" s="6750"/>
      <c r="Y44" s="6750"/>
      <c r="Z44" s="6750"/>
      <c r="AA44" s="6750"/>
      <c r="AB44" s="6750"/>
      <c r="AC44" s="6751"/>
      <c r="AD44" s="6749" t="str">
        <f>INDEX(PT_DIFFERENTIATION_TER,MATCH(B44,PT_DIFFERENTIATION_TER_ID,0))</f>
        <v/>
      </c>
      <c r="AE44" s="6750"/>
      <c r="AF44" s="6750"/>
      <c r="AG44" s="6750"/>
      <c r="AH44" s="6750"/>
      <c r="AI44" s="6750"/>
      <c r="AJ44" s="6750"/>
      <c r="AK44" s="6750"/>
      <c r="AL44" s="6751"/>
      <c r="AM44" s="1177" t="s">
        <v>518</v>
      </c>
      <c r="AO44" s="426"/>
      <c r="AP44" s="426" t="str">
        <f t="shared" si="1"/>
        <v>Территория действия тарифа</v>
      </c>
      <c r="AQ44" s="426"/>
      <c r="AR44" s="426"/>
    </row>
    <row r="45" spans="1:44" ht="23.25" customHeight="1">
      <c r="A45" s="1279" t="s">
        <v>310</v>
      </c>
      <c r="B45" s="1279" t="s">
        <v>311</v>
      </c>
      <c r="C45" s="1279" t="s">
        <v>312</v>
      </c>
      <c r="D45" s="1279"/>
      <c r="E45" s="6764"/>
      <c r="F45" s="6764"/>
      <c r="G45" s="6763">
        <v>1</v>
      </c>
      <c r="H45" s="1279"/>
      <c r="I45" s="1279"/>
      <c r="J45" s="1279"/>
      <c r="K45" s="1279"/>
      <c r="L45" s="1280"/>
      <c r="M45" s="1281"/>
      <c r="N45" s="1281"/>
      <c r="O45" s="1281"/>
      <c r="P45" s="279"/>
      <c r="Q45" s="277"/>
      <c r="R45" s="278"/>
      <c r="S45" s="1253" t="str">
        <f>INDEX(PT_DIFFERENTIATION_NUM_CS,MATCH(C45,PT_DIFFERENTIATION_CS_ID,0))</f>
        <v>..</v>
      </c>
      <c r="T45" s="230" t="s">
        <v>519</v>
      </c>
      <c r="U45" s="219"/>
      <c r="V45" s="6749"/>
      <c r="W45" s="6750"/>
      <c r="X45" s="6750"/>
      <c r="Y45" s="6750"/>
      <c r="Z45" s="6750"/>
      <c r="AA45" s="6750"/>
      <c r="AB45" s="6750"/>
      <c r="AC45" s="6751"/>
      <c r="AD45" s="6749" t="str">
        <f>INDEX(PT_DIFFERENTIATION_CS,MATCH(C45,PT_DIFFERENTIATION_CS_ID,0))</f>
        <v/>
      </c>
      <c r="AE45" s="6750"/>
      <c r="AF45" s="6750"/>
      <c r="AG45" s="6750"/>
      <c r="AH45" s="6750"/>
      <c r="AI45" s="6750"/>
      <c r="AJ45" s="6750"/>
      <c r="AK45" s="6750"/>
      <c r="AL45" s="6751"/>
      <c r="AM45" s="1177" t="s">
        <v>520</v>
      </c>
      <c r="AO45" s="426"/>
      <c r="AP45" s="426" t="str">
        <f t="shared" si="1"/>
        <v xml:space="preserve">Наименование системы теплоснабжения </v>
      </c>
      <c r="AQ45" s="426"/>
      <c r="AR45" s="426"/>
    </row>
    <row r="46" spans="1:44" ht="21" customHeight="1">
      <c r="A46" s="1279" t="s">
        <v>310</v>
      </c>
      <c r="B46" s="1279" t="s">
        <v>311</v>
      </c>
      <c r="C46" s="1279" t="s">
        <v>312</v>
      </c>
      <c r="D46" s="1279" t="s">
        <v>313</v>
      </c>
      <c r="E46" s="6764"/>
      <c r="F46" s="6764"/>
      <c r="G46" s="6764"/>
      <c r="H46" s="6763">
        <v>1</v>
      </c>
      <c r="I46" s="1279"/>
      <c r="J46" s="1279"/>
      <c r="K46" s="1279"/>
      <c r="L46" s="1280"/>
      <c r="M46" s="1281"/>
      <c r="N46" s="1281"/>
      <c r="O46" s="1281"/>
      <c r="P46" s="279"/>
      <c r="Q46" s="277"/>
      <c r="R46" s="278"/>
      <c r="S46" s="1253" t="str">
        <f>INDEX(PT_DIFFERENTIATION_NUM_IST_TE,MATCH(D46,PT_DIFFERENTIATION_IST_TE_ID,0))</f>
        <v>...</v>
      </c>
      <c r="T46" s="231" t="s">
        <v>521</v>
      </c>
      <c r="U46" s="219"/>
      <c r="V46" s="6749"/>
      <c r="W46" s="6750"/>
      <c r="X46" s="6750"/>
      <c r="Y46" s="6750"/>
      <c r="Z46" s="6750"/>
      <c r="AA46" s="6750"/>
      <c r="AB46" s="6750"/>
      <c r="AC46" s="6751"/>
      <c r="AD46" s="6749" t="str">
        <f>INDEX(PT_DIFFERENTIATION_IST_TE,MATCH(D46,PT_DIFFERENTIATION_IST_TE_ID,0))</f>
        <v/>
      </c>
      <c r="AE46" s="6750"/>
      <c r="AF46" s="6750"/>
      <c r="AG46" s="6750"/>
      <c r="AH46" s="6750"/>
      <c r="AI46" s="6750"/>
      <c r="AJ46" s="6750"/>
      <c r="AK46" s="6750"/>
      <c r="AL46" s="6751"/>
      <c r="AM46" s="1177" t="s">
        <v>522</v>
      </c>
      <c r="AO46" s="426"/>
      <c r="AP46" s="426" t="str">
        <f t="shared" si="1"/>
        <v xml:space="preserve">Источник тепловой энергии  </v>
      </c>
      <c r="AQ46" s="426"/>
      <c r="AR46" s="426"/>
    </row>
    <row r="47" spans="1:44" s="1817" customFormat="1" ht="0" hidden="1" customHeight="1">
      <c r="A47" s="1260" t="s">
        <v>310</v>
      </c>
      <c r="B47" s="1260" t="s">
        <v>311</v>
      </c>
      <c r="C47" s="1260" t="s">
        <v>312</v>
      </c>
      <c r="D47" s="1260" t="s">
        <v>313</v>
      </c>
      <c r="E47" s="6764"/>
      <c r="F47" s="6764"/>
      <c r="G47" s="6764"/>
      <c r="H47" s="6764"/>
      <c r="I47" s="6761" t="str">
        <f>S46&amp;".1"</f>
        <v>....1</v>
      </c>
      <c r="J47" s="1260"/>
      <c r="K47" s="1260"/>
      <c r="L47" s="1263" t="s">
        <v>523</v>
      </c>
      <c r="M47" s="436"/>
      <c r="N47" s="436"/>
      <c r="O47" s="436"/>
      <c r="P47" s="6762">
        <v>1</v>
      </c>
      <c r="Q47" s="1248"/>
      <c r="R47" s="281"/>
      <c r="S47" s="949"/>
      <c r="T47" s="1299"/>
      <c r="U47" s="1300"/>
      <c r="V47" s="6790"/>
      <c r="W47" s="6791"/>
      <c r="X47" s="6791"/>
      <c r="Y47" s="6791"/>
      <c r="Z47" s="6791"/>
      <c r="AA47" s="6791"/>
      <c r="AB47" s="6791"/>
      <c r="AC47" s="6792"/>
      <c r="AD47" s="6790"/>
      <c r="AE47" s="6791"/>
      <c r="AF47" s="6791"/>
      <c r="AG47" s="6791"/>
      <c r="AH47" s="6791"/>
      <c r="AI47" s="6791"/>
      <c r="AJ47" s="6791"/>
      <c r="AK47" s="6791"/>
      <c r="AL47" s="6792"/>
      <c r="AM47" s="1301"/>
      <c r="AO47" s="426"/>
      <c r="AP47" s="426" t="str">
        <f t="shared" si="1"/>
        <v/>
      </c>
      <c r="AQ47" s="426"/>
      <c r="AR47" s="426"/>
    </row>
    <row r="48" spans="1:44" ht="21" customHeight="1">
      <c r="A48" s="1279" t="s">
        <v>310</v>
      </c>
      <c r="B48" s="1279" t="s">
        <v>311</v>
      </c>
      <c r="C48" s="1279" t="s">
        <v>312</v>
      </c>
      <c r="D48" s="1279" t="s">
        <v>313</v>
      </c>
      <c r="E48" s="6764"/>
      <c r="F48" s="6764"/>
      <c r="G48" s="6764"/>
      <c r="H48" s="6764"/>
      <c r="I48" s="6784"/>
      <c r="J48" s="6761" t="str">
        <f>S46&amp;".1"</f>
        <v>....1</v>
      </c>
      <c r="K48" s="1279"/>
      <c r="L48" s="1280" t="s">
        <v>526</v>
      </c>
      <c r="P48" s="6762"/>
      <c r="Q48" s="6762">
        <v>1</v>
      </c>
      <c r="R48" s="282"/>
      <c r="S48" s="1253" t="str">
        <f>$J48</f>
        <v>....1</v>
      </c>
      <c r="T48" s="205" t="s">
        <v>527</v>
      </c>
      <c r="U48" s="219"/>
      <c r="V48" s="6752"/>
      <c r="W48" s="6753"/>
      <c r="X48" s="6753"/>
      <c r="Y48" s="6753"/>
      <c r="Z48" s="6753"/>
      <c r="AA48" s="6753"/>
      <c r="AB48" s="6753"/>
      <c r="AC48" s="6754"/>
      <c r="AD48" s="6752"/>
      <c r="AE48" s="6753"/>
      <c r="AF48" s="6753"/>
      <c r="AG48" s="6753"/>
      <c r="AH48" s="6753"/>
      <c r="AI48" s="6753"/>
      <c r="AJ48" s="6753"/>
      <c r="AK48" s="6753"/>
      <c r="AL48" s="6754"/>
      <c r="AM48" s="1177" t="s">
        <v>528</v>
      </c>
      <c r="AO48" s="426"/>
      <c r="AP48" s="426" t="str">
        <f t="shared" si="1"/>
        <v>Группа потребителей</v>
      </c>
      <c r="AQ48" s="426"/>
      <c r="AR48" s="426"/>
    </row>
    <row r="49" spans="1:44" ht="21" customHeight="1">
      <c r="A49" s="1279" t="s">
        <v>310</v>
      </c>
      <c r="B49" s="1279" t="s">
        <v>311</v>
      </c>
      <c r="C49" s="1279" t="s">
        <v>312</v>
      </c>
      <c r="D49" s="1279" t="s">
        <v>313</v>
      </c>
      <c r="E49" s="6764"/>
      <c r="F49" s="6764"/>
      <c r="G49" s="6764"/>
      <c r="H49" s="6764"/>
      <c r="I49" s="6784"/>
      <c r="J49" s="6784"/>
      <c r="K49" s="6761" t="str">
        <f>J48&amp;".1"</f>
        <v>....1.1</v>
      </c>
      <c r="L49" s="1280" t="s">
        <v>529</v>
      </c>
      <c r="P49" s="6762"/>
      <c r="Q49" s="6762"/>
      <c r="R49" s="282">
        <v>1</v>
      </c>
      <c r="S49" s="1253" t="str">
        <f>$K49</f>
        <v>....1.1</v>
      </c>
      <c r="T49" s="1264"/>
      <c r="U49" s="219"/>
      <c r="V49" s="668"/>
      <c r="W49" s="251"/>
      <c r="X49" s="668"/>
      <c r="Y49" s="1176"/>
      <c r="Z49" s="6766"/>
      <c r="AA49" s="6610" t="s">
        <v>61</v>
      </c>
      <c r="AB49" s="6766"/>
      <c r="AC49" s="6610" t="s">
        <v>61</v>
      </c>
      <c r="AD49" s="668"/>
      <c r="AE49" s="251"/>
      <c r="AF49" s="668"/>
      <c r="AG49" s="1176"/>
      <c r="AH49" s="6766"/>
      <c r="AI49" s="6610" t="s">
        <v>61</v>
      </c>
      <c r="AJ49" s="6785"/>
      <c r="AK49" s="6610" t="s">
        <v>61</v>
      </c>
      <c r="AL49" s="1265"/>
      <c r="AM49" s="6758" t="s">
        <v>569</v>
      </c>
      <c r="AN49" s="437" t="e">
        <f ca="1">STRCHECKDATE(V50:AL50)</f>
        <v>#NAME?</v>
      </c>
      <c r="AO49" s="426"/>
      <c r="AP49" s="426" t="str">
        <f t="shared" si="1"/>
        <v/>
      </c>
      <c r="AQ49" s="426"/>
      <c r="AR49" s="426"/>
    </row>
    <row r="50" spans="1:44" ht="0.75" customHeight="1">
      <c r="A50" s="1279" t="s">
        <v>310</v>
      </c>
      <c r="B50" s="1279" t="s">
        <v>311</v>
      </c>
      <c r="C50" s="1279" t="s">
        <v>312</v>
      </c>
      <c r="D50" s="1279" t="s">
        <v>313</v>
      </c>
      <c r="E50" s="6764"/>
      <c r="F50" s="6764"/>
      <c r="G50" s="6764"/>
      <c r="H50" s="6764"/>
      <c r="I50" s="6784"/>
      <c r="J50" s="6784"/>
      <c r="K50" s="6761"/>
      <c r="L50" s="1280"/>
      <c r="P50" s="6762"/>
      <c r="Q50" s="6762"/>
      <c r="R50" s="282"/>
      <c r="S50" s="1259"/>
      <c r="T50" s="219"/>
      <c r="U50" s="219"/>
      <c r="V50" s="251"/>
      <c r="W50" s="251"/>
      <c r="X50" s="251"/>
      <c r="Y50" s="255" t="str">
        <f>Z49&amp;"-"&amp;AB49</f>
        <v>-</v>
      </c>
      <c r="Z50" s="6767"/>
      <c r="AA50" s="6610"/>
      <c r="AB50" s="6767"/>
      <c r="AC50" s="6610"/>
      <c r="AD50" s="251"/>
      <c r="AE50" s="251"/>
      <c r="AF50" s="251"/>
      <c r="AG50" s="255" t="str">
        <f>AH49&amp;"-"&amp;AJ49</f>
        <v>-</v>
      </c>
      <c r="AH50" s="6767"/>
      <c r="AI50" s="6610"/>
      <c r="AJ50" s="6786"/>
      <c r="AK50" s="6610"/>
      <c r="AL50" s="1266"/>
      <c r="AM50" s="6759"/>
      <c r="AO50" s="426"/>
      <c r="AP50" s="426" t="str">
        <f t="shared" si="1"/>
        <v/>
      </c>
      <c r="AQ50" s="426"/>
      <c r="AR50" s="426"/>
    </row>
    <row r="51" spans="1:44" ht="11.25" customHeight="1">
      <c r="A51" s="1279" t="s">
        <v>310</v>
      </c>
      <c r="B51" s="1279" t="s">
        <v>311</v>
      </c>
      <c r="C51" s="1279" t="s">
        <v>312</v>
      </c>
      <c r="D51" s="1279" t="s">
        <v>313</v>
      </c>
      <c r="E51" s="6764"/>
      <c r="F51" s="6764"/>
      <c r="G51" s="6764"/>
      <c r="H51" s="6764"/>
      <c r="I51" s="6784"/>
      <c r="J51" s="6761"/>
      <c r="K51" s="1279"/>
      <c r="L51" s="1280"/>
      <c r="P51" s="6762"/>
      <c r="Q51" s="6762"/>
      <c r="R51" s="281"/>
      <c r="S51" s="1198"/>
      <c r="T51" s="206" t="s">
        <v>531</v>
      </c>
      <c r="U51" s="295"/>
      <c r="V51" s="295"/>
      <c r="W51" s="295"/>
      <c r="X51" s="295"/>
      <c r="Y51" s="295"/>
      <c r="Z51" s="295"/>
      <c r="AA51" s="295"/>
      <c r="AB51" s="295"/>
      <c r="AC51" s="295"/>
      <c r="AD51" s="295"/>
      <c r="AE51" s="295"/>
      <c r="AF51" s="295"/>
      <c r="AG51" s="295"/>
      <c r="AH51" s="295"/>
      <c r="AI51" s="295"/>
      <c r="AJ51" s="295"/>
      <c r="AK51" s="295"/>
      <c r="AL51" s="250"/>
      <c r="AM51" s="6760"/>
      <c r="AO51" s="426"/>
      <c r="AP51" s="426" t="str">
        <f t="shared" si="1"/>
        <v>Добавить вид теплоносителя (параметры теплоносителя)</v>
      </c>
      <c r="AQ51" s="426"/>
      <c r="AR51" s="426"/>
    </row>
    <row r="52" spans="1:44" ht="11.25" customHeight="1">
      <c r="A52" s="1279" t="s">
        <v>310</v>
      </c>
      <c r="B52" s="1279" t="s">
        <v>311</v>
      </c>
      <c r="C52" s="1279" t="s">
        <v>312</v>
      </c>
      <c r="D52" s="1279" t="s">
        <v>313</v>
      </c>
      <c r="E52" s="6764"/>
      <c r="F52" s="6764"/>
      <c r="G52" s="6764"/>
      <c r="H52" s="6764"/>
      <c r="I52" s="6761"/>
      <c r="J52" s="1279"/>
      <c r="K52" s="1279"/>
      <c r="L52" s="1280"/>
      <c r="P52" s="6762"/>
      <c r="Q52" s="1248"/>
      <c r="R52" s="281"/>
      <c r="S52" s="1198"/>
      <c r="T52" s="292" t="s">
        <v>532</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310</v>
      </c>
      <c r="B53" s="1279" t="s">
        <v>311</v>
      </c>
      <c r="C53" s="1279" t="s">
        <v>312</v>
      </c>
      <c r="D53" s="1279" t="s">
        <v>313</v>
      </c>
      <c r="E53" s="6764"/>
      <c r="F53" s="6764"/>
      <c r="G53" s="6764"/>
      <c r="H53" s="676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067" customFormat="1" ht="0.75" customHeight="1">
      <c r="A54" s="1260" t="s">
        <v>310</v>
      </c>
      <c r="B54" s="1260" t="s">
        <v>311</v>
      </c>
      <c r="C54" s="1260" t="s">
        <v>312</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067" customFormat="1" ht="0.75" customHeight="1">
      <c r="A55" s="1260" t="s">
        <v>310</v>
      </c>
      <c r="B55" s="1260" t="s">
        <v>311</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75" customHeight="1">
      <c r="A56" s="1260" t="s">
        <v>310</v>
      </c>
      <c r="B56" s="1260"/>
      <c r="C56" s="1260"/>
      <c r="D56" s="1260"/>
      <c r="E56" s="6763"/>
      <c r="F56" s="1260"/>
      <c r="G56" s="1260"/>
      <c r="H56" s="1260"/>
      <c r="I56" s="1260"/>
      <c r="J56" s="1260"/>
      <c r="K56" s="1260"/>
      <c r="L56" s="1263"/>
      <c r="M56" s="1239"/>
      <c r="N56" s="1239"/>
      <c r="O56" s="444"/>
      <c r="P56" s="313"/>
      <c r="Q56" s="1261"/>
      <c r="R56" s="313"/>
      <c r="S56" s="1240"/>
      <c r="T56" s="1243" t="s">
        <v>272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067"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273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6783"/>
      <c r="U59" s="6783"/>
      <c r="V59" s="6783"/>
      <c r="W59" s="6783"/>
      <c r="X59" s="6783"/>
      <c r="Y59" s="6783"/>
      <c r="Z59" s="6783"/>
      <c r="AA59" s="6783"/>
      <c r="AB59" s="6783"/>
      <c r="AC59" s="6783"/>
      <c r="AD59" s="6783"/>
      <c r="AE59" s="6783"/>
      <c r="AF59" s="6783"/>
      <c r="AG59" s="6783"/>
      <c r="AH59" s="6783"/>
      <c r="AI59" s="6783"/>
      <c r="AJ59" s="6783"/>
      <c r="AK59" s="6783"/>
      <c r="AL59" s="6783"/>
      <c r="AM59" s="6783"/>
    </row>
    <row r="60" spans="1:44" ht="29.25" customHeight="1">
      <c r="O60" s="462"/>
      <c r="T60" s="6783"/>
      <c r="U60" s="6783"/>
      <c r="V60" s="6783"/>
      <c r="W60" s="6783"/>
      <c r="X60" s="6783"/>
      <c r="Y60" s="6783"/>
      <c r="Z60" s="6783"/>
      <c r="AA60" s="6783"/>
      <c r="AB60" s="6783"/>
      <c r="AC60" s="6783"/>
      <c r="AD60" s="6783"/>
      <c r="AE60" s="6783"/>
      <c r="AF60" s="6783"/>
      <c r="AG60" s="6783"/>
      <c r="AH60" s="6783"/>
      <c r="AI60" s="6783"/>
      <c r="AJ60" s="6783"/>
      <c r="AK60" s="6783"/>
      <c r="AL60" s="6783"/>
      <c r="AM60" s="6783"/>
    </row>
    <row r="61" spans="1:44" ht="39.75" customHeight="1">
      <c r="O61" s="462"/>
      <c r="T61" s="6783"/>
      <c r="U61" s="6783"/>
      <c r="V61" s="6783"/>
      <c r="W61" s="6783"/>
      <c r="X61" s="6783"/>
      <c r="Y61" s="6783"/>
      <c r="Z61" s="6783"/>
      <c r="AA61" s="6783"/>
      <c r="AB61" s="6783"/>
      <c r="AC61" s="6783"/>
      <c r="AD61" s="6783"/>
      <c r="AE61" s="6783"/>
      <c r="AF61" s="6783"/>
      <c r="AG61" s="6783"/>
      <c r="AH61" s="6783"/>
      <c r="AI61" s="6783"/>
      <c r="AJ61" s="6783"/>
      <c r="AK61" s="6783"/>
      <c r="AL61" s="6783"/>
      <c r="AM61" s="6783"/>
    </row>
    <row r="62" spans="1:44" ht="14.25" customHeight="1">
      <c r="O62" s="462"/>
    </row>
    <row r="63" spans="1:44" ht="19.5" customHeight="1">
      <c r="O63" s="462"/>
      <c r="S63" s="1164"/>
      <c r="T63" s="6681"/>
      <c r="U63" s="6783"/>
      <c r="V63" s="6783"/>
      <c r="W63" s="6783"/>
      <c r="X63" s="6783"/>
      <c r="Y63" s="6783"/>
      <c r="Z63" s="6783"/>
      <c r="AA63" s="6783"/>
      <c r="AB63" s="6783"/>
      <c r="AC63" s="6783"/>
      <c r="AD63" s="6783"/>
      <c r="AE63" s="6783"/>
      <c r="AF63" s="6783"/>
      <c r="AG63" s="6783"/>
      <c r="AH63" s="6783"/>
      <c r="AI63" s="6783"/>
      <c r="AJ63" s="6783"/>
      <c r="AK63" s="6783"/>
      <c r="AL63" s="6783"/>
      <c r="AM63" s="6783"/>
    </row>
    <row r="64" spans="1:44" ht="27.75" customHeight="1">
      <c r="O64" s="462"/>
      <c r="T64" s="6783"/>
      <c r="U64" s="6783"/>
      <c r="V64" s="6783"/>
      <c r="W64" s="6783"/>
      <c r="X64" s="6783"/>
      <c r="Y64" s="6783"/>
      <c r="Z64" s="6783"/>
      <c r="AA64" s="6783"/>
      <c r="AB64" s="6783"/>
      <c r="AC64" s="6783"/>
      <c r="AD64" s="6783"/>
      <c r="AE64" s="6783"/>
      <c r="AF64" s="6783"/>
      <c r="AG64" s="6783"/>
      <c r="AH64" s="6783"/>
      <c r="AI64" s="6783"/>
      <c r="AJ64" s="6783"/>
      <c r="AK64" s="6783"/>
      <c r="AL64" s="6783"/>
      <c r="AM64" s="6783"/>
    </row>
    <row r="65" spans="20:39" ht="33.75" customHeight="1">
      <c r="T65" s="6783"/>
      <c r="U65" s="6783"/>
      <c r="V65" s="6783"/>
      <c r="W65" s="6783"/>
      <c r="X65" s="6783"/>
      <c r="Y65" s="6783"/>
      <c r="Z65" s="6783"/>
      <c r="AA65" s="6783"/>
      <c r="AB65" s="6783"/>
      <c r="AC65" s="6783"/>
      <c r="AD65" s="6783"/>
      <c r="AE65" s="6783"/>
      <c r="AF65" s="6783"/>
      <c r="AG65" s="6783"/>
      <c r="AH65" s="6783"/>
      <c r="AI65" s="6783"/>
      <c r="AJ65" s="6783"/>
      <c r="AK65" s="6783"/>
      <c r="AL65" s="6783"/>
      <c r="AM65" s="678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73" hidden="1" customWidth="1"/>
    <col min="17" max="18" width="3.7109375" style="2075" customWidth="1"/>
    <col min="19" max="19" width="12.7109375" style="2076" customWidth="1"/>
    <col min="20" max="20" width="32" style="2042" customWidth="1"/>
    <col min="21" max="21" width="0.140625" style="2042" customWidth="1"/>
    <col min="22" max="22" width="24.7109375" style="2042" hidden="1" customWidth="1"/>
    <col min="23" max="23" width="0.140625" style="2042" hidden="1" customWidth="1"/>
    <col min="24" max="25" width="24.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0" width="24.7109375" style="2042" customWidth="1"/>
    <col min="31" max="31" width="0.140625" style="2042" customWidth="1"/>
    <col min="32" max="33" width="24.7109375" style="2042" customWidth="1"/>
    <col min="34" max="34" width="11.7109375" style="2042" customWidth="1"/>
    <col min="35" max="35" width="3.7109375" style="2042" customWidth="1"/>
    <col min="36" max="36" width="11.7109375" style="2042" customWidth="1"/>
    <col min="37" max="37" width="8.5703125" style="2042" hidden="1" customWidth="1"/>
    <col min="38" max="38" width="4.7109375" style="2042" customWidth="1"/>
    <col min="39" max="39" width="115.7109375" style="2042" customWidth="1"/>
    <col min="40" max="41" width="10.5703125" style="1817"/>
    <col min="42" max="42" width="11.140625" style="1817" customWidth="1"/>
    <col min="43" max="44" width="10.5703125" style="1817"/>
  </cols>
  <sheetData>
    <row r="1" spans="1:44" ht="14.25" hidden="1" customHeight="1">
      <c r="Y1" s="254"/>
      <c r="Z1" s="254"/>
      <c r="AG1" s="254"/>
      <c r="AH1" s="254"/>
    </row>
    <row r="2" spans="1:44" ht="21" hidden="1" customHeight="1">
      <c r="A2" s="1279"/>
      <c r="B2" s="1279"/>
      <c r="C2" s="1279"/>
      <c r="D2" s="1279"/>
      <c r="E2" s="6763">
        <v>1</v>
      </c>
      <c r="F2" s="1279"/>
      <c r="G2" s="1279"/>
      <c r="H2" s="1279"/>
      <c r="I2" s="1279"/>
      <c r="J2" s="1279"/>
      <c r="K2" s="1279"/>
      <c r="L2" s="1280"/>
      <c r="M2" s="1281"/>
      <c r="N2" s="1281"/>
      <c r="O2" s="1281"/>
      <c r="P2" s="286"/>
      <c r="Q2" s="285"/>
      <c r="R2" s="280"/>
      <c r="S2" s="1253" t="e">
        <f>INDEX(PT_DIFFERENTIATION_NUM_NTAR,MATCH(A2,PT_DIFFERENTIATION_NTAR_ID,0))</f>
        <v>#N/A</v>
      </c>
      <c r="T2" s="217" t="s">
        <v>189</v>
      </c>
      <c r="U2" s="219"/>
      <c r="V2" s="6749"/>
      <c r="W2" s="6750"/>
      <c r="X2" s="6750"/>
      <c r="Y2" s="6750"/>
      <c r="Z2" s="6750"/>
      <c r="AA2" s="6750"/>
      <c r="AB2" s="6750"/>
      <c r="AC2" s="6751"/>
      <c r="AD2" s="6749" t="e">
        <f>INDEX(PT_DIFFERENTIATION_NTAR,MATCH(A2,PT_DIFFERENTIATION_NTAR_ID,0))</f>
        <v>#N/A</v>
      </c>
      <c r="AE2" s="6750"/>
      <c r="AF2" s="6750"/>
      <c r="AG2" s="6750"/>
      <c r="AH2" s="6750"/>
      <c r="AI2" s="6750"/>
      <c r="AJ2" s="6750"/>
      <c r="AK2" s="6750"/>
      <c r="AL2" s="6751"/>
      <c r="AM2" s="1177" t="s">
        <v>516</v>
      </c>
      <c r="AO2" s="426"/>
      <c r="AP2" s="426" t="str">
        <f t="shared" ref="AP2:AP15" si="0">IF(T2="","",T2)</f>
        <v>Наименование тарифа</v>
      </c>
      <c r="AQ2" s="426"/>
      <c r="AR2" s="426"/>
    </row>
    <row r="3" spans="1:44" ht="21" hidden="1" customHeight="1">
      <c r="A3" s="1279"/>
      <c r="B3" s="1279"/>
      <c r="C3" s="1279"/>
      <c r="D3" s="1279"/>
      <c r="E3" s="6764"/>
      <c r="F3" s="6763">
        <v>1</v>
      </c>
      <c r="G3" s="1279"/>
      <c r="H3" s="1279"/>
      <c r="I3" s="1279"/>
      <c r="J3" s="1279"/>
      <c r="K3" s="1279"/>
      <c r="L3" s="1280"/>
      <c r="M3" s="1281"/>
      <c r="N3" s="1281"/>
      <c r="O3" s="1281"/>
      <c r="P3" s="1249"/>
      <c r="Q3" s="277"/>
      <c r="R3" s="278"/>
      <c r="S3" s="1253" t="e">
        <f>INDEX(PT_DIFFERENTIATION_NUM_TER,MATCH(B3,PT_DIFFERENTIATION_TER_ID,0))</f>
        <v>#N/A</v>
      </c>
      <c r="T3" s="229" t="s">
        <v>517</v>
      </c>
      <c r="U3" s="219"/>
      <c r="V3" s="6749"/>
      <c r="W3" s="6750"/>
      <c r="X3" s="6750"/>
      <c r="Y3" s="6750"/>
      <c r="Z3" s="6750"/>
      <c r="AA3" s="6750"/>
      <c r="AB3" s="6750"/>
      <c r="AC3" s="6751"/>
      <c r="AD3" s="6749" t="e">
        <f>INDEX(PT_DIFFERENTIATION_TER,MATCH(B3,PT_DIFFERENTIATION_TER_ID,0))</f>
        <v>#N/A</v>
      </c>
      <c r="AE3" s="6750"/>
      <c r="AF3" s="6750"/>
      <c r="AG3" s="6750"/>
      <c r="AH3" s="6750"/>
      <c r="AI3" s="6750"/>
      <c r="AJ3" s="6750"/>
      <c r="AK3" s="6750"/>
      <c r="AL3" s="6751"/>
      <c r="AM3" s="1177" t="s">
        <v>518</v>
      </c>
      <c r="AO3" s="426"/>
      <c r="AP3" s="426" t="str">
        <f t="shared" si="0"/>
        <v>Территория действия тарифа</v>
      </c>
      <c r="AQ3" s="426"/>
      <c r="AR3" s="426"/>
    </row>
    <row r="4" spans="1:44" ht="23.25" hidden="1" customHeight="1">
      <c r="A4" s="1279"/>
      <c r="B4" s="1279"/>
      <c r="C4" s="1279"/>
      <c r="D4" s="1279"/>
      <c r="E4" s="6764"/>
      <c r="F4" s="6764"/>
      <c r="G4" s="6763">
        <v>1</v>
      </c>
      <c r="H4" s="1279"/>
      <c r="I4" s="1279"/>
      <c r="J4" s="1279"/>
      <c r="K4" s="1279"/>
      <c r="L4" s="1280"/>
      <c r="M4" s="1281"/>
      <c r="N4" s="1281"/>
      <c r="O4" s="1281"/>
      <c r="P4" s="279"/>
      <c r="Q4" s="277"/>
      <c r="R4" s="278"/>
      <c r="S4" s="1253" t="e">
        <f>INDEX(PT_DIFFERENTIATION_NUM_CS,MATCH(C4,PT_DIFFERENTIATION_CS_ID,0))</f>
        <v>#N/A</v>
      </c>
      <c r="T4" s="230" t="s">
        <v>519</v>
      </c>
      <c r="U4" s="219"/>
      <c r="V4" s="6749"/>
      <c r="W4" s="6750"/>
      <c r="X4" s="6750"/>
      <c r="Y4" s="6750"/>
      <c r="Z4" s="6750"/>
      <c r="AA4" s="6750"/>
      <c r="AB4" s="6750"/>
      <c r="AC4" s="6751"/>
      <c r="AD4" s="6749" t="e">
        <f>INDEX(PT_DIFFERENTIATION_CS,MATCH(C4,PT_DIFFERENTIATION_CS_ID,0))</f>
        <v>#N/A</v>
      </c>
      <c r="AE4" s="6750"/>
      <c r="AF4" s="6750"/>
      <c r="AG4" s="6750"/>
      <c r="AH4" s="6750"/>
      <c r="AI4" s="6750"/>
      <c r="AJ4" s="6750"/>
      <c r="AK4" s="6750"/>
      <c r="AL4" s="6751"/>
      <c r="AM4" s="1177" t="s">
        <v>520</v>
      </c>
      <c r="AO4" s="426"/>
      <c r="AP4" s="426" t="str">
        <f t="shared" si="0"/>
        <v xml:space="preserve">Наименование системы теплоснабжения </v>
      </c>
      <c r="AQ4" s="426"/>
      <c r="AR4" s="426"/>
    </row>
    <row r="5" spans="1:44" ht="21" hidden="1" customHeight="1">
      <c r="A5" s="1279"/>
      <c r="B5" s="1279"/>
      <c r="C5" s="1279"/>
      <c r="D5" s="1279"/>
      <c r="E5" s="6764"/>
      <c r="F5" s="6764"/>
      <c r="G5" s="6764"/>
      <c r="H5" s="6763">
        <v>1</v>
      </c>
      <c r="I5" s="1279"/>
      <c r="J5" s="1279"/>
      <c r="K5" s="1279"/>
      <c r="L5" s="1280"/>
      <c r="M5" s="1281"/>
      <c r="N5" s="1281"/>
      <c r="O5" s="1281"/>
      <c r="P5" s="279"/>
      <c r="Q5" s="277"/>
      <c r="R5" s="278"/>
      <c r="S5" s="1253" t="e">
        <f>INDEX(PT_DIFFERENTIATION_NUM_IST_TE,MATCH(D5,PT_DIFFERENTIATION_IST_TE_ID,0))</f>
        <v>#N/A</v>
      </c>
      <c r="T5" s="231" t="s">
        <v>521</v>
      </c>
      <c r="U5" s="219"/>
      <c r="V5" s="6749"/>
      <c r="W5" s="6750"/>
      <c r="X5" s="6750"/>
      <c r="Y5" s="6750"/>
      <c r="Z5" s="6750"/>
      <c r="AA5" s="6750"/>
      <c r="AB5" s="6750"/>
      <c r="AC5" s="6751"/>
      <c r="AD5" s="6749" t="e">
        <f>INDEX(PT_DIFFERENTIATION_IST_TE,MATCH(D5,PT_DIFFERENTIATION_IST_TE_ID,0))</f>
        <v>#N/A</v>
      </c>
      <c r="AE5" s="6750"/>
      <c r="AF5" s="6750"/>
      <c r="AG5" s="6750"/>
      <c r="AH5" s="6750"/>
      <c r="AI5" s="6750"/>
      <c r="AJ5" s="6750"/>
      <c r="AK5" s="6750"/>
      <c r="AL5" s="6751"/>
      <c r="AM5" s="1177" t="s">
        <v>522</v>
      </c>
      <c r="AO5" s="426"/>
      <c r="AP5" s="426" t="str">
        <f t="shared" si="0"/>
        <v xml:space="preserve">Источник тепловой энергии  </v>
      </c>
      <c r="AQ5" s="426"/>
      <c r="AR5" s="426"/>
    </row>
    <row r="6" spans="1:44" ht="14.25" hidden="1" customHeight="1">
      <c r="A6" s="1279"/>
      <c r="B6" s="1279"/>
      <c r="C6" s="1279"/>
      <c r="D6" s="1279"/>
      <c r="E6" s="6764"/>
      <c r="F6" s="6764"/>
      <c r="G6" s="6764"/>
      <c r="H6" s="6764"/>
      <c r="I6" s="6761" t="e">
        <f>S5&amp;".1"</f>
        <v>#N/A</v>
      </c>
      <c r="J6" s="1279"/>
      <c r="K6" s="1279"/>
      <c r="L6" s="1280" t="s">
        <v>523</v>
      </c>
      <c r="M6" s="462"/>
      <c r="P6" s="6762">
        <v>1</v>
      </c>
      <c r="Q6" s="1248"/>
      <c r="R6" s="281"/>
      <c r="S6" s="949"/>
      <c r="T6" s="1299"/>
      <c r="U6" s="1300"/>
      <c r="V6" s="6790"/>
      <c r="W6" s="6791"/>
      <c r="X6" s="6791"/>
      <c r="Y6" s="6791"/>
      <c r="Z6" s="6791"/>
      <c r="AA6" s="6791"/>
      <c r="AB6" s="6791"/>
      <c r="AC6" s="6792"/>
      <c r="AD6" s="6790"/>
      <c r="AE6" s="6791"/>
      <c r="AF6" s="6791"/>
      <c r="AG6" s="6791"/>
      <c r="AH6" s="6791"/>
      <c r="AI6" s="6791"/>
      <c r="AJ6" s="6791"/>
      <c r="AK6" s="6791"/>
      <c r="AL6" s="6792"/>
      <c r="AM6" s="1301"/>
      <c r="AO6" s="426"/>
      <c r="AP6" s="426" t="str">
        <f t="shared" si="0"/>
        <v/>
      </c>
      <c r="AQ6" s="426"/>
      <c r="AR6" s="426"/>
    </row>
    <row r="7" spans="1:44" ht="21" hidden="1" customHeight="1">
      <c r="A7" s="1279"/>
      <c r="B7" s="1279"/>
      <c r="C7" s="1279"/>
      <c r="D7" s="1279"/>
      <c r="E7" s="6764"/>
      <c r="F7" s="6764"/>
      <c r="G7" s="6764"/>
      <c r="H7" s="6764"/>
      <c r="I7" s="6784"/>
      <c r="J7" s="6761" t="e">
        <f>I6&amp;".1"</f>
        <v>#N/A</v>
      </c>
      <c r="K7" s="1279"/>
      <c r="L7" s="1280" t="s">
        <v>526</v>
      </c>
      <c r="M7" s="462"/>
      <c r="N7" s="1282"/>
      <c r="P7" s="6762"/>
      <c r="Q7" s="6762">
        <v>1</v>
      </c>
      <c r="R7" s="282"/>
      <c r="S7" s="1253" t="e">
        <f>$J7</f>
        <v>#N/A</v>
      </c>
      <c r="T7" s="205" t="s">
        <v>527</v>
      </c>
      <c r="U7" s="219"/>
      <c r="V7" s="6752"/>
      <c r="W7" s="6753"/>
      <c r="X7" s="6753"/>
      <c r="Y7" s="6753"/>
      <c r="Z7" s="6753"/>
      <c r="AA7" s="6753"/>
      <c r="AB7" s="6753"/>
      <c r="AC7" s="6754"/>
      <c r="AD7" s="6752"/>
      <c r="AE7" s="6753"/>
      <c r="AF7" s="6753"/>
      <c r="AG7" s="6753"/>
      <c r="AH7" s="6753"/>
      <c r="AI7" s="6753"/>
      <c r="AJ7" s="6753"/>
      <c r="AK7" s="6753"/>
      <c r="AL7" s="6754"/>
      <c r="AM7" s="1177" t="s">
        <v>528</v>
      </c>
      <c r="AO7" s="426"/>
      <c r="AP7" s="426" t="str">
        <f t="shared" si="0"/>
        <v>Группа потребителей</v>
      </c>
      <c r="AQ7" s="426"/>
      <c r="AR7" s="426"/>
    </row>
    <row r="8" spans="1:44" ht="21" hidden="1" customHeight="1">
      <c r="A8" s="1279"/>
      <c r="B8" s="1279"/>
      <c r="C8" s="1279"/>
      <c r="D8" s="1279"/>
      <c r="E8" s="6764"/>
      <c r="F8" s="6764"/>
      <c r="G8" s="6764"/>
      <c r="H8" s="6764"/>
      <c r="I8" s="6784"/>
      <c r="J8" s="6784"/>
      <c r="K8" s="6761" t="e">
        <f>J7&amp;".1"</f>
        <v>#N/A</v>
      </c>
      <c r="L8" s="1280" t="s">
        <v>529</v>
      </c>
      <c r="M8" s="462"/>
      <c r="N8" s="1282"/>
      <c r="O8" s="1282"/>
      <c r="P8" s="6762"/>
      <c r="Q8" s="6762"/>
      <c r="R8" s="282">
        <v>1</v>
      </c>
      <c r="S8" s="1253" t="e">
        <f>$K8</f>
        <v>#N/A</v>
      </c>
      <c r="T8" s="1264"/>
      <c r="U8" s="219"/>
      <c r="V8" s="668"/>
      <c r="W8" s="251"/>
      <c r="X8" s="668"/>
      <c r="Y8" s="1176"/>
      <c r="Z8" s="6766"/>
      <c r="AA8" s="6610" t="s">
        <v>61</v>
      </c>
      <c r="AB8" s="6766"/>
      <c r="AC8" s="6610" t="s">
        <v>61</v>
      </c>
      <c r="AD8" s="668"/>
      <c r="AE8" s="251"/>
      <c r="AF8" s="668"/>
      <c r="AG8" s="1176"/>
      <c r="AH8" s="6766"/>
      <c r="AI8" s="6610" t="s">
        <v>61</v>
      </c>
      <c r="AJ8" s="6766"/>
      <c r="AK8" s="6610" t="s">
        <v>61</v>
      </c>
      <c r="AL8" s="251"/>
      <c r="AM8" s="6758" t="s">
        <v>530</v>
      </c>
      <c r="AN8" s="437" t="e">
        <f ca="1">STRCHECKDATE(V9:AL9)</f>
        <v>#NAME?</v>
      </c>
      <c r="AO8" s="426"/>
      <c r="AP8" s="426" t="str">
        <f t="shared" si="0"/>
        <v/>
      </c>
      <c r="AQ8" s="426"/>
      <c r="AR8" s="426"/>
    </row>
    <row r="9" spans="1:44" ht="14.25" hidden="1" customHeight="1">
      <c r="A9" s="1279"/>
      <c r="B9" s="1279"/>
      <c r="C9" s="1279"/>
      <c r="D9" s="1279"/>
      <c r="E9" s="6764"/>
      <c r="F9" s="6764"/>
      <c r="G9" s="6764"/>
      <c r="H9" s="6764"/>
      <c r="I9" s="6784"/>
      <c r="J9" s="6784"/>
      <c r="K9" s="6761"/>
      <c r="L9" s="1280"/>
      <c r="M9" s="462"/>
      <c r="N9" s="1282"/>
      <c r="O9" s="1282"/>
      <c r="P9" s="6762"/>
      <c r="Q9" s="6762"/>
      <c r="R9" s="282"/>
      <c r="S9" s="1259"/>
      <c r="T9" s="219"/>
      <c r="U9" s="219"/>
      <c r="V9" s="251"/>
      <c r="W9" s="251"/>
      <c r="X9" s="251"/>
      <c r="Y9" s="255" t="str">
        <f>Z8&amp;"-"&amp;AB8</f>
        <v>-</v>
      </c>
      <c r="Z9" s="6767"/>
      <c r="AA9" s="6610"/>
      <c r="AB9" s="6767"/>
      <c r="AC9" s="6610"/>
      <c r="AD9" s="251"/>
      <c r="AE9" s="251"/>
      <c r="AF9" s="251"/>
      <c r="AG9" s="255" t="str">
        <f>AH8&amp;"-"&amp;AJ8</f>
        <v>-</v>
      </c>
      <c r="AH9" s="6767"/>
      <c r="AI9" s="6610"/>
      <c r="AJ9" s="6767"/>
      <c r="AK9" s="6610"/>
      <c r="AL9" s="251"/>
      <c r="AM9" s="6759"/>
      <c r="AO9" s="426"/>
      <c r="AP9" s="426" t="str">
        <f t="shared" si="0"/>
        <v/>
      </c>
      <c r="AQ9" s="426"/>
      <c r="AR9" s="426"/>
    </row>
    <row r="10" spans="1:44" ht="15" hidden="1" customHeight="1">
      <c r="A10" s="1279"/>
      <c r="B10" s="1279"/>
      <c r="C10" s="1279"/>
      <c r="D10" s="1279"/>
      <c r="E10" s="6764"/>
      <c r="F10" s="6764"/>
      <c r="G10" s="6764"/>
      <c r="H10" s="6764"/>
      <c r="I10" s="6784"/>
      <c r="J10" s="6761"/>
      <c r="K10" s="1279"/>
      <c r="L10" s="1280"/>
      <c r="M10" s="462"/>
      <c r="N10" s="1282"/>
      <c r="P10" s="6762"/>
      <c r="Q10" s="6762"/>
      <c r="R10" s="281"/>
      <c r="S10" s="1198"/>
      <c r="T10" s="206" t="s">
        <v>531</v>
      </c>
      <c r="U10" s="295"/>
      <c r="V10" s="295"/>
      <c r="W10" s="295"/>
      <c r="X10" s="295"/>
      <c r="Y10" s="295"/>
      <c r="Z10" s="295"/>
      <c r="AA10" s="295"/>
      <c r="AB10" s="295"/>
      <c r="AC10" s="295"/>
      <c r="AD10" s="295"/>
      <c r="AE10" s="295"/>
      <c r="AF10" s="295"/>
      <c r="AG10" s="295"/>
      <c r="AH10" s="295"/>
      <c r="AI10" s="295"/>
      <c r="AJ10" s="295"/>
      <c r="AK10" s="295"/>
      <c r="AL10" s="250"/>
      <c r="AM10" s="6760"/>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6764"/>
      <c r="F11" s="6764"/>
      <c r="G11" s="6764"/>
      <c r="H11" s="6764"/>
      <c r="I11" s="6761"/>
      <c r="J11" s="1279"/>
      <c r="K11" s="1279"/>
      <c r="L11" s="1280"/>
      <c r="M11" s="462"/>
      <c r="P11" s="6762"/>
      <c r="Q11" s="1248"/>
      <c r="R11" s="281"/>
      <c r="S11" s="1198"/>
      <c r="T11" s="292" t="s">
        <v>532</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6764"/>
      <c r="F12" s="6764"/>
      <c r="G12" s="6764"/>
      <c r="H12" s="6763"/>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067" customFormat="1" ht="14.25" hidden="1" customHeight="1">
      <c r="A13" s="1232"/>
      <c r="B13" s="1232"/>
      <c r="C13" s="1232"/>
      <c r="D13" s="1232"/>
      <c r="E13" s="6764"/>
      <c r="F13" s="6764"/>
      <c r="G13" s="6763"/>
      <c r="H13" s="1232"/>
      <c r="I13" s="1232"/>
      <c r="J13" s="1232"/>
      <c r="K13" s="1232"/>
      <c r="L13" s="1256"/>
      <c r="M13" s="1233"/>
      <c r="N13" s="1233"/>
      <c r="P13" s="1234"/>
      <c r="Q13" s="1235"/>
      <c r="R13" s="1234"/>
      <c r="S13" s="1236"/>
      <c r="T13" s="1237" t="s">
        <v>228</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067" customFormat="1" ht="14.25" hidden="1" customHeight="1">
      <c r="A14" s="1232"/>
      <c r="B14" s="1232"/>
      <c r="C14" s="1232"/>
      <c r="D14" s="1232"/>
      <c r="E14" s="6764"/>
      <c r="F14" s="6763"/>
      <c r="G14" s="1232"/>
      <c r="H14" s="1232"/>
      <c r="I14" s="1232"/>
      <c r="J14" s="1232"/>
      <c r="K14" s="1232"/>
      <c r="L14" s="1256"/>
      <c r="M14" s="1239"/>
      <c r="N14" s="1239"/>
      <c r="P14" s="1234"/>
      <c r="Q14" s="1235"/>
      <c r="R14" s="1234"/>
      <c r="S14" s="1240"/>
      <c r="T14" s="1241" t="s">
        <v>229</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067" customFormat="1" ht="14.25" hidden="1" customHeight="1">
      <c r="A15" s="1232"/>
      <c r="B15" s="1232"/>
      <c r="C15" s="1232"/>
      <c r="D15" s="1232"/>
      <c r="E15" s="6763"/>
      <c r="F15" s="1232"/>
      <c r="G15" s="1232"/>
      <c r="H15" s="1232"/>
      <c r="I15" s="1232"/>
      <c r="J15" s="1232"/>
      <c r="K15" s="1232"/>
      <c r="L15" s="1256"/>
      <c r="M15" s="1239"/>
      <c r="N15" s="1239"/>
      <c r="P15" s="1234"/>
      <c r="Q15" s="1235"/>
      <c r="R15" s="1234"/>
      <c r="S15" s="1240"/>
      <c r="T15" s="1243" t="s">
        <v>272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6768"/>
      <c r="AI17" s="6769" t="s">
        <v>61</v>
      </c>
      <c r="AJ17" s="6768"/>
      <c r="AK17" s="6769" t="s">
        <v>61</v>
      </c>
    </row>
    <row r="18" spans="1:44" ht="14.25" hidden="1" customHeight="1">
      <c r="AD18" s="1276"/>
      <c r="AE18" s="1276"/>
      <c r="AF18" s="1276"/>
      <c r="AG18" s="255" t="str">
        <f>AH17&amp;"-"&amp;AJ17</f>
        <v>-</v>
      </c>
      <c r="AH18" s="6769"/>
      <c r="AI18" s="6769"/>
      <c r="AJ18" s="6769"/>
      <c r="AK18" s="6769"/>
    </row>
    <row r="19" spans="1:44" ht="14.25" hidden="1" customHeight="1">
      <c r="AK19" s="254"/>
    </row>
    <row r="20" spans="1:44" s="1830" customFormat="1" ht="22.5" hidden="1" customHeight="1">
      <c r="L20" s="1246"/>
      <c r="M20" s="1278"/>
      <c r="N20" s="1278"/>
      <c r="O20" s="1283" t="s">
        <v>534</v>
      </c>
      <c r="P20" s="1278"/>
      <c r="Q20" s="1287"/>
      <c r="R20" s="1287"/>
      <c r="S20" s="648"/>
      <c r="Z20" s="1283"/>
      <c r="AB20" s="1283"/>
      <c r="AC20" s="1282"/>
      <c r="AH20" s="1283"/>
      <c r="AJ20" s="1283"/>
      <c r="AK20" s="1282"/>
      <c r="AN20" s="437"/>
      <c r="AO20" s="437"/>
      <c r="AP20" s="437"/>
      <c r="AQ20" s="437"/>
      <c r="AR20" s="437"/>
    </row>
    <row r="21" spans="1:44" s="1830" customFormat="1" ht="14.25" hidden="1" customHeight="1">
      <c r="L21" s="1246"/>
      <c r="M21" s="1278"/>
      <c r="N21" s="1278"/>
      <c r="O21" s="1278"/>
      <c r="P21" s="1278"/>
      <c r="Q21" s="1287"/>
      <c r="R21" s="1287"/>
      <c r="S21" s="648"/>
      <c r="AC21" s="1282"/>
      <c r="AK21" s="1282"/>
      <c r="AN21" s="437"/>
      <c r="AO21" s="437"/>
      <c r="AP21" s="437"/>
      <c r="AQ21" s="437"/>
      <c r="AR21" s="437"/>
    </row>
    <row r="22" spans="1:44" s="1830" customFormat="1" ht="14.25" hidden="1" customHeight="1">
      <c r="L22" s="1246"/>
      <c r="M22" s="1278"/>
      <c r="N22" s="1278"/>
      <c r="O22" s="1280" t="s">
        <v>535</v>
      </c>
      <c r="P22" s="1278"/>
      <c r="Q22" s="1287"/>
      <c r="R22" s="1287"/>
      <c r="S22" s="648"/>
      <c r="T22" s="1060" t="s">
        <v>536</v>
      </c>
      <c r="AA22" s="107" t="s">
        <v>537</v>
      </c>
      <c r="AC22" s="107" t="s">
        <v>538</v>
      </c>
      <c r="AD22" s="1060" t="s">
        <v>536</v>
      </c>
      <c r="AI22" s="107" t="s">
        <v>539</v>
      </c>
      <c r="AK22" s="107" t="s">
        <v>538</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674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747"/>
      <c r="U26" s="6747"/>
      <c r="V26" s="6747"/>
      <c r="W26" s="6747"/>
      <c r="X26" s="6747"/>
      <c r="Y26" s="6747"/>
      <c r="Z26" s="6747"/>
      <c r="AA26" s="6747"/>
      <c r="AB26" s="6747"/>
      <c r="AC26" s="6747"/>
      <c r="AD26" s="6747"/>
      <c r="AE26" s="6747"/>
      <c r="AF26" s="6747"/>
      <c r="AG26" s="6747"/>
      <c r="AH26" s="6747"/>
      <c r="AI26" s="6747"/>
      <c r="AJ26" s="6747"/>
      <c r="AK26" s="1152"/>
    </row>
    <row r="27" spans="1:44" ht="14.25" customHeight="1">
      <c r="Q27" s="305"/>
      <c r="R27" s="305"/>
      <c r="S27" s="6694" t="str">
        <f>IF(org=0,"Не определено",org)</f>
        <v>ООО "Марикоммунэнерго"</v>
      </c>
      <c r="T27" s="6694"/>
      <c r="U27" s="6694"/>
      <c r="V27" s="6694"/>
      <c r="W27" s="6694"/>
      <c r="X27" s="6694"/>
      <c r="Y27" s="6694"/>
      <c r="Z27" s="6694"/>
      <c r="AA27" s="6694"/>
      <c r="AB27" s="6694"/>
      <c r="AC27" s="6694"/>
      <c r="AD27" s="6694"/>
      <c r="AE27" s="6694"/>
      <c r="AF27" s="6694"/>
      <c r="AG27" s="6694"/>
      <c r="AH27" s="6694"/>
      <c r="AI27" s="6694"/>
      <c r="AJ27" s="6694"/>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072" customFormat="1" ht="25.5" customHeight="1">
      <c r="A29" s="1284"/>
      <c r="B29" s="1284"/>
      <c r="C29" s="1284"/>
      <c r="D29" s="1284"/>
      <c r="E29" s="1284"/>
      <c r="F29" s="1284"/>
      <c r="G29" s="1284"/>
      <c r="H29" s="1284"/>
      <c r="I29" s="1284"/>
      <c r="J29" s="1284"/>
      <c r="K29" s="1284"/>
      <c r="L29" s="1285"/>
      <c r="M29" s="1284"/>
      <c r="N29" s="1284"/>
      <c r="O29" s="1284"/>
      <c r="S29" s="6755" t="s">
        <v>38</v>
      </c>
      <c r="T29" s="6755"/>
      <c r="U29" s="1288"/>
      <c r="V29" s="6756" t="str">
        <f>IF(TITLE_NAME_OR_PR_CHANGE="",IF(TITLE_NAME_OR_PR="","",TITLE_NAME_OR_PR),TITLE_NAME_OR_PR_CHANGE)</f>
        <v>Министерство промышленности, экономического развития и торговли Республики Марий Эл</v>
      </c>
      <c r="W29" s="6756"/>
      <c r="X29" s="6756"/>
      <c r="Y29" s="6756"/>
      <c r="Z29" s="6756"/>
      <c r="AA29" s="6756"/>
      <c r="AB29" s="6756"/>
      <c r="AC29" s="253"/>
      <c r="AD29" s="6756" t="str">
        <f>IF(TITLE_NAME_OR_PR_CHANGE="",IF(TITLE_NAME_OR_PR="","",TITLE_NAME_OR_PR),TITLE_NAME_OR_PR_CHANGE)</f>
        <v>Министерство промышленности, экономического развития и торговли Республики Марий Эл</v>
      </c>
      <c r="AE29" s="6756"/>
      <c r="AF29" s="6756"/>
      <c r="AG29" s="6756"/>
      <c r="AH29" s="6756"/>
      <c r="AI29" s="6756"/>
      <c r="AJ29" s="6756"/>
      <c r="AK29" s="253"/>
      <c r="AL29" s="253"/>
      <c r="AM29" s="200"/>
      <c r="AN29" s="296"/>
      <c r="AO29" s="296"/>
      <c r="AP29" s="296"/>
      <c r="AQ29" s="296"/>
      <c r="AR29" s="296"/>
    </row>
    <row r="30" spans="1:44" s="2072" customFormat="1" ht="18.75" customHeight="1">
      <c r="A30" s="1284"/>
      <c r="B30" s="1284"/>
      <c r="C30" s="1284"/>
      <c r="D30" s="1284"/>
      <c r="E30" s="1284"/>
      <c r="F30" s="1284"/>
      <c r="G30" s="1284"/>
      <c r="H30" s="1284"/>
      <c r="I30" s="1284"/>
      <c r="J30" s="1284"/>
      <c r="K30" s="1284"/>
      <c r="L30" s="1285"/>
      <c r="M30" s="1284"/>
      <c r="N30" s="1284"/>
      <c r="O30" s="1284"/>
      <c r="S30" s="6755" t="s">
        <v>540</v>
      </c>
      <c r="T30" s="6755"/>
      <c r="U30" s="1288"/>
      <c r="V30" s="6765">
        <f>IF(TITLE_DATE_PR_CHANGE="",IF(TITLE_DATE_PR="","",TITLE_DATE_PR),TITLE_DATE_PR_CHANGE)</f>
        <v>45280.426180555558</v>
      </c>
      <c r="W30" s="6765"/>
      <c r="X30" s="6765"/>
      <c r="Y30" s="6765"/>
      <c r="Z30" s="6765"/>
      <c r="AA30" s="6765"/>
      <c r="AB30" s="6765"/>
      <c r="AC30" s="253"/>
      <c r="AD30" s="6765">
        <f>IF(TITLE_DATE_PR_CHANGE="",IF(TITLE_DATE_PR="","",TITLE_DATE_PR),TITLE_DATE_PR_CHANGE)</f>
        <v>45280.426180555558</v>
      </c>
      <c r="AE30" s="6765"/>
      <c r="AF30" s="6765"/>
      <c r="AG30" s="6765"/>
      <c r="AH30" s="6765"/>
      <c r="AI30" s="6765"/>
      <c r="AJ30" s="6765"/>
      <c r="AK30" s="253"/>
      <c r="AL30" s="253"/>
      <c r="AM30" s="200"/>
      <c r="AN30" s="296"/>
      <c r="AO30" s="296"/>
      <c r="AP30" s="296"/>
      <c r="AQ30" s="296"/>
      <c r="AR30" s="296"/>
    </row>
    <row r="31" spans="1:44" s="2072" customFormat="1" ht="18.75" customHeight="1">
      <c r="A31" s="1284"/>
      <c r="B31" s="1284"/>
      <c r="C31" s="1284"/>
      <c r="D31" s="1284"/>
      <c r="E31" s="1284"/>
      <c r="F31" s="1284"/>
      <c r="G31" s="1284"/>
      <c r="H31" s="1284"/>
      <c r="I31" s="1284"/>
      <c r="J31" s="1284"/>
      <c r="K31" s="1284"/>
      <c r="L31" s="1285"/>
      <c r="M31" s="1284"/>
      <c r="N31" s="1284"/>
      <c r="O31" s="1284"/>
      <c r="S31" s="6755" t="s">
        <v>541</v>
      </c>
      <c r="T31" s="6755"/>
      <c r="U31" s="1288"/>
      <c r="V31" s="6756" t="str">
        <f>IF(TITLE_NUMBER_PR_CHANGE="",IF(TITLE_NUMBER_PR="","",TITLE_NUMBER_PR),TITLE_NUMBER_PR_CHANGE)</f>
        <v>124 т, 125 т, 126 т, 169 т</v>
      </c>
      <c r="W31" s="6756"/>
      <c r="X31" s="6756"/>
      <c r="Y31" s="6756"/>
      <c r="Z31" s="6756"/>
      <c r="AA31" s="6756"/>
      <c r="AB31" s="6756"/>
      <c r="AC31" s="253"/>
      <c r="AD31" s="6756" t="str">
        <f>IF(TITLE_NUMBER_PR_CHANGE="",IF(TITLE_NUMBER_PR="","",TITLE_NUMBER_PR),TITLE_NUMBER_PR_CHANGE)</f>
        <v>124 т, 125 т, 126 т, 169 т</v>
      </c>
      <c r="AE31" s="6756"/>
      <c r="AF31" s="6756"/>
      <c r="AG31" s="6756"/>
      <c r="AH31" s="6756"/>
      <c r="AI31" s="6756"/>
      <c r="AJ31" s="6756"/>
      <c r="AK31" s="253"/>
      <c r="AL31" s="253"/>
      <c r="AM31" s="200"/>
      <c r="AN31" s="296"/>
      <c r="AO31" s="296"/>
      <c r="AP31" s="296"/>
      <c r="AQ31" s="296"/>
      <c r="AR31" s="296"/>
    </row>
    <row r="32" spans="1:44" s="2072" customFormat="1" ht="18.75" customHeight="1">
      <c r="A32" s="1284"/>
      <c r="B32" s="1284"/>
      <c r="C32" s="1284"/>
      <c r="D32" s="1284"/>
      <c r="E32" s="1284"/>
      <c r="F32" s="1284"/>
      <c r="G32" s="1284"/>
      <c r="H32" s="1284"/>
      <c r="I32" s="1284"/>
      <c r="J32" s="1284"/>
      <c r="K32" s="1284"/>
      <c r="L32" s="1285"/>
      <c r="M32" s="1284"/>
      <c r="N32" s="1284"/>
      <c r="O32" s="1284"/>
      <c r="S32" s="6755" t="s">
        <v>40</v>
      </c>
      <c r="T32" s="6755"/>
      <c r="U32" s="1288"/>
      <c r="V32" s="6756" t="str">
        <f>IF(TITLE_IST_PUB_CHANGE="",IF(TITLE_IST_PUB="","",TITLE_IST_PUB),TITLE_IST_PUB_CHANGE)</f>
        <v>портал Официальное опубликование нормативных правовых актов  Республики Марий Эл</v>
      </c>
      <c r="W32" s="6756"/>
      <c r="X32" s="6756"/>
      <c r="Y32" s="6756"/>
      <c r="Z32" s="6756"/>
      <c r="AA32" s="6756"/>
      <c r="AB32" s="6756"/>
      <c r="AC32" s="253"/>
      <c r="AD32" s="6756" t="str">
        <f>IF(TITLE_IST_PUB_CHANGE="",IF(TITLE_IST_PUB="","",TITLE_IST_PUB),TITLE_IST_PUB_CHANGE)</f>
        <v>портал Официальное опубликование нормативных правовых актов  Республики Марий Эл</v>
      </c>
      <c r="AE32" s="6756"/>
      <c r="AF32" s="6756"/>
      <c r="AG32" s="6756"/>
      <c r="AH32" s="6756"/>
      <c r="AI32" s="6756"/>
      <c r="AJ32" s="6756"/>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072" customFormat="1" ht="18.75" hidden="1" customHeight="1">
      <c r="A34" s="1284"/>
      <c r="B34" s="1284"/>
      <c r="C34" s="1284"/>
      <c r="D34" s="1284"/>
      <c r="E34" s="1284"/>
      <c r="F34" s="1284"/>
      <c r="G34" s="1284"/>
      <c r="H34" s="1284"/>
      <c r="I34" s="1284"/>
      <c r="J34" s="1284"/>
      <c r="K34" s="1284"/>
      <c r="L34" s="1285"/>
      <c r="M34" s="1284"/>
      <c r="N34" s="1284"/>
      <c r="O34" s="1284"/>
      <c r="S34" s="6755" t="s">
        <v>542</v>
      </c>
      <c r="T34" s="6755"/>
      <c r="U34" s="1288"/>
      <c r="V34" s="6765">
        <f>IF(TITLE_DATE_PR_CHANGE="",IF(TITLE_DATE_PR="","",TITLE_DATE_PR),TITLE_DATE_PR_CHANGE)</f>
        <v>45280.426180555558</v>
      </c>
      <c r="W34" s="6765"/>
      <c r="X34" s="6765"/>
      <c r="Y34" s="6765"/>
      <c r="Z34" s="6765"/>
      <c r="AA34" s="6765"/>
      <c r="AB34" s="6765"/>
      <c r="AC34" s="253"/>
      <c r="AD34" s="6765">
        <f>IF(TITLE_DATE_PR_CHANGE="",IF(TITLE_DATE_PR="","",TITLE_DATE_PR),TITLE_DATE_PR_CHANGE)</f>
        <v>45280.426180555558</v>
      </c>
      <c r="AE34" s="6765"/>
      <c r="AF34" s="6765"/>
      <c r="AG34" s="6765"/>
      <c r="AH34" s="6765"/>
      <c r="AI34" s="6765"/>
      <c r="AJ34" s="6765"/>
      <c r="AK34" s="253"/>
      <c r="AL34" s="253"/>
      <c r="AM34" s="200"/>
      <c r="AN34" s="296"/>
      <c r="AO34" s="296"/>
      <c r="AP34" s="296"/>
      <c r="AQ34" s="296"/>
      <c r="AR34" s="296"/>
    </row>
    <row r="35" spans="1:44" s="2072" customFormat="1" ht="25.5" hidden="1" customHeight="1">
      <c r="A35" s="1284"/>
      <c r="B35" s="1284"/>
      <c r="C35" s="1284"/>
      <c r="D35" s="1284"/>
      <c r="E35" s="1284"/>
      <c r="F35" s="1284"/>
      <c r="G35" s="1284"/>
      <c r="H35" s="1284"/>
      <c r="I35" s="1284"/>
      <c r="J35" s="1284"/>
      <c r="K35" s="1284"/>
      <c r="L35" s="1285"/>
      <c r="M35" s="1284"/>
      <c r="N35" s="1284"/>
      <c r="O35" s="1284"/>
      <c r="S35" s="6755" t="s">
        <v>543</v>
      </c>
      <c r="T35" s="6755"/>
      <c r="U35" s="1288"/>
      <c r="V35" s="6756" t="str">
        <f>IF(TITLE_NUMBER_PR_CHANGE="",IF(TITLE_NUMBER_PR="","",TITLE_NUMBER_PR),TITLE_NUMBER_PR_CHANGE)</f>
        <v>124 т, 125 т, 126 т, 169 т</v>
      </c>
      <c r="W35" s="6756"/>
      <c r="X35" s="6756"/>
      <c r="Y35" s="6756"/>
      <c r="Z35" s="6756"/>
      <c r="AA35" s="6756"/>
      <c r="AB35" s="6756"/>
      <c r="AC35" s="253"/>
      <c r="AD35" s="6756" t="str">
        <f>IF(TITLE_NUMBER_PR_CHANGE="",IF(TITLE_NUMBER_PR="","",TITLE_NUMBER_PR),TITLE_NUMBER_PR_CHANGE)</f>
        <v>124 т, 125 т, 126 т, 169 т</v>
      </c>
      <c r="AE35" s="6756"/>
      <c r="AF35" s="6756"/>
      <c r="AG35" s="6756"/>
      <c r="AH35" s="6756"/>
      <c r="AI35" s="6756"/>
      <c r="AJ35" s="6756"/>
      <c r="AK35" s="253"/>
      <c r="AL35" s="253"/>
      <c r="AM35" s="200"/>
      <c r="AN35" s="296"/>
      <c r="AO35" s="296"/>
      <c r="AP35" s="296"/>
      <c r="AQ35" s="296"/>
      <c r="AR35" s="296"/>
    </row>
    <row r="36" spans="1:44" s="207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544</v>
      </c>
      <c r="AD36" s="253"/>
      <c r="AE36" s="253"/>
      <c r="AF36" s="253"/>
      <c r="AG36" s="253"/>
      <c r="AH36" s="253"/>
      <c r="AI36" s="253"/>
      <c r="AJ36" s="253"/>
      <c r="AK36" s="198" t="s">
        <v>544</v>
      </c>
      <c r="AN36" s="296"/>
      <c r="AO36" s="296"/>
      <c r="AP36" s="296"/>
      <c r="AQ36" s="296"/>
      <c r="AR36" s="296"/>
    </row>
    <row r="37" spans="1:44" ht="14.25" customHeight="1">
      <c r="Q37" s="305"/>
      <c r="R37" s="305"/>
      <c r="S37" s="1195"/>
      <c r="T37" s="290"/>
      <c r="U37" s="1153"/>
      <c r="V37" s="6757"/>
      <c r="W37" s="6757"/>
      <c r="X37" s="6757"/>
      <c r="Y37" s="6757"/>
      <c r="Z37" s="6757"/>
      <c r="AA37" s="6757"/>
      <c r="AB37" s="6757"/>
      <c r="AC37" s="6757"/>
      <c r="AD37" s="6757"/>
      <c r="AE37" s="6757"/>
      <c r="AF37" s="6757"/>
      <c r="AG37" s="6757"/>
      <c r="AH37" s="6757"/>
      <c r="AI37" s="6757"/>
      <c r="AJ37" s="6757"/>
      <c r="AK37" s="6757"/>
    </row>
    <row r="38" spans="1:44" ht="14.25" customHeight="1">
      <c r="Q38" s="305"/>
      <c r="R38" s="305"/>
      <c r="S38" s="6629" t="s">
        <v>418</v>
      </c>
      <c r="T38" s="6629"/>
      <c r="U38" s="6629"/>
      <c r="V38" s="6629"/>
      <c r="W38" s="6629"/>
      <c r="X38" s="6629"/>
      <c r="Y38" s="6629"/>
      <c r="Z38" s="6629"/>
      <c r="AA38" s="6629"/>
      <c r="AB38" s="6629"/>
      <c r="AC38" s="6629"/>
      <c r="AD38" s="6629"/>
      <c r="AE38" s="6629"/>
      <c r="AF38" s="6629"/>
      <c r="AG38" s="6629"/>
      <c r="AH38" s="6629"/>
      <c r="AI38" s="6629"/>
      <c r="AJ38" s="6629"/>
      <c r="AK38" s="6629"/>
      <c r="AL38" s="6629"/>
      <c r="AM38" s="6629" t="s">
        <v>419</v>
      </c>
    </row>
    <row r="39" spans="1:44" ht="14.25" customHeight="1">
      <c r="Q39" s="305"/>
      <c r="R39" s="305"/>
      <c r="S39" s="6771" t="s">
        <v>87</v>
      </c>
      <c r="T39" s="6723" t="s">
        <v>545</v>
      </c>
      <c r="U39" s="220"/>
      <c r="V39" s="6772" t="s">
        <v>546</v>
      </c>
      <c r="W39" s="6773"/>
      <c r="X39" s="6773"/>
      <c r="Y39" s="6773"/>
      <c r="Z39" s="6773"/>
      <c r="AA39" s="6773"/>
      <c r="AB39" s="6774"/>
      <c r="AC39" s="6775" t="s">
        <v>547</v>
      </c>
      <c r="AD39" s="6772" t="s">
        <v>546</v>
      </c>
      <c r="AE39" s="6773"/>
      <c r="AF39" s="6773"/>
      <c r="AG39" s="6773"/>
      <c r="AH39" s="6773"/>
      <c r="AI39" s="6773"/>
      <c r="AJ39" s="6774"/>
      <c r="AK39" s="6775" t="s">
        <v>548</v>
      </c>
      <c r="AL39" s="6778" t="s">
        <v>549</v>
      </c>
      <c r="AM39" s="6629"/>
    </row>
    <row r="40" spans="1:44" ht="33.75" customHeight="1">
      <c r="Q40" s="305"/>
      <c r="R40" s="305"/>
      <c r="S40" s="6771"/>
      <c r="T40" s="6723"/>
      <c r="U40" s="938"/>
      <c r="V40" s="6693" t="s">
        <v>550</v>
      </c>
      <c r="W40" s="6781"/>
      <c r="X40" s="6600" t="s">
        <v>552</v>
      </c>
      <c r="Y40" s="6599"/>
      <c r="Z40" s="6600" t="s">
        <v>553</v>
      </c>
      <c r="AA40" s="6605"/>
      <c r="AB40" s="6599"/>
      <c r="AC40" s="6776"/>
      <c r="AD40" s="6693" t="s">
        <v>550</v>
      </c>
      <c r="AE40" s="6781"/>
      <c r="AF40" s="6600" t="s">
        <v>552</v>
      </c>
      <c r="AG40" s="6599"/>
      <c r="AH40" s="6600" t="s">
        <v>553</v>
      </c>
      <c r="AI40" s="6605"/>
      <c r="AJ40" s="6599"/>
      <c r="AK40" s="6776"/>
      <c r="AL40" s="6779"/>
      <c r="AM40" s="6629"/>
    </row>
    <row r="41" spans="1:44" ht="33.75" customHeight="1">
      <c r="A41" s="1286"/>
      <c r="B41" s="1286" t="s">
        <v>201</v>
      </c>
      <c r="C41" s="1286" t="s">
        <v>202</v>
      </c>
      <c r="D41" s="1286" t="s">
        <v>203</v>
      </c>
      <c r="E41" s="1280" t="s">
        <v>554</v>
      </c>
      <c r="F41" s="1280" t="s">
        <v>555</v>
      </c>
      <c r="G41" s="1280" t="s">
        <v>556</v>
      </c>
      <c r="H41" s="1280" t="s">
        <v>557</v>
      </c>
      <c r="I41" s="1280" t="s">
        <v>558</v>
      </c>
      <c r="J41" s="1280" t="s">
        <v>559</v>
      </c>
      <c r="K41" s="1280" t="s">
        <v>560</v>
      </c>
      <c r="L41" s="1280" t="s">
        <v>535</v>
      </c>
      <c r="Q41" s="305"/>
      <c r="R41" s="305"/>
      <c r="S41" s="6771"/>
      <c r="T41" s="6723"/>
      <c r="U41" s="221"/>
      <c r="V41" s="6742"/>
      <c r="W41" s="6782"/>
      <c r="X41" s="1128" t="s">
        <v>561</v>
      </c>
      <c r="Y41" s="1128" t="s">
        <v>562</v>
      </c>
      <c r="Z41" s="1255" t="s">
        <v>563</v>
      </c>
      <c r="AA41" s="6731" t="s">
        <v>564</v>
      </c>
      <c r="AB41" s="6733"/>
      <c r="AC41" s="6777"/>
      <c r="AD41" s="6742"/>
      <c r="AE41" s="6782"/>
      <c r="AF41" s="1128" t="s">
        <v>561</v>
      </c>
      <c r="AG41" s="1128" t="s">
        <v>562</v>
      </c>
      <c r="AH41" s="1255" t="s">
        <v>563</v>
      </c>
      <c r="AI41" s="6731" t="s">
        <v>564</v>
      </c>
      <c r="AJ41" s="6733"/>
      <c r="AK41" s="6777"/>
      <c r="AL41" s="6780"/>
      <c r="AM41" s="6629"/>
    </row>
    <row r="42" spans="1:44" s="1816"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178</v>
      </c>
      <c r="T42" s="1172" t="s">
        <v>98</v>
      </c>
      <c r="U42" s="1154" t="str">
        <f ca="1">OFFSET(U42,0,-1)</f>
        <v>2</v>
      </c>
      <c r="V42" s="1252">
        <f ca="1">OFFSET(V42,0,-1)+1</f>
        <v>3</v>
      </c>
      <c r="W42" s="1252"/>
      <c r="X42" s="1252">
        <f ca="1">OFFSET(X42,0,-1)+1</f>
        <v>1</v>
      </c>
      <c r="Y42" s="1252">
        <f ca="1">OFFSET(Y42,0,-1)+1</f>
        <v>2</v>
      </c>
      <c r="Z42" s="1252">
        <f ca="1">OFFSET(Z42,0,-1)+1</f>
        <v>3</v>
      </c>
      <c r="AA42" s="6770">
        <f ca="1">OFFSET(AA42,0,-1)+1</f>
        <v>4</v>
      </c>
      <c r="AB42" s="6770"/>
      <c r="AC42" s="1252">
        <f ca="1">OFFSET(AC42,0,-2)+1</f>
        <v>5</v>
      </c>
      <c r="AD42" s="1252">
        <f ca="1">OFFSET(AD42,0,-1)+1</f>
        <v>6</v>
      </c>
      <c r="AE42" s="1252"/>
      <c r="AF42" s="1252">
        <f ca="1">OFFSET(AF42,0,-1)+1</f>
        <v>1</v>
      </c>
      <c r="AG42" s="1252">
        <f ca="1">OFFSET(AG42,0,-1)+1</f>
        <v>2</v>
      </c>
      <c r="AH42" s="1252">
        <f ca="1">OFFSET(AH42,0,-1)+1</f>
        <v>3</v>
      </c>
      <c r="AI42" s="6770">
        <f ca="1">OFFSET(AI42,0,-1)+1</f>
        <v>4</v>
      </c>
      <c r="AJ42" s="6770"/>
      <c r="AK42" s="1252">
        <f ca="1">OFFSET(AK42,0,-2)+1</f>
        <v>5</v>
      </c>
      <c r="AL42" s="1154">
        <f ca="1">OFFSET(AL42,0,-1)</f>
        <v>5</v>
      </c>
      <c r="AM42" s="1252">
        <f ca="1">OFFSET(AM42,0,-1)+1</f>
        <v>6</v>
      </c>
      <c r="AN42" s="437"/>
      <c r="AO42" s="437"/>
      <c r="AP42" s="437"/>
      <c r="AQ42" s="437"/>
      <c r="AR42" s="437"/>
    </row>
    <row r="43" spans="1:44" ht="21" customHeight="1">
      <c r="A43" s="1279" t="s">
        <v>316</v>
      </c>
      <c r="B43" s="1279"/>
      <c r="C43" s="1279"/>
      <c r="D43" s="1279"/>
      <c r="E43" s="6763">
        <v>1</v>
      </c>
      <c r="F43" s="1279"/>
      <c r="G43" s="1279"/>
      <c r="H43" s="1279"/>
      <c r="I43" s="1279"/>
      <c r="J43" s="1279"/>
      <c r="K43" s="1279"/>
      <c r="L43" s="1280"/>
      <c r="M43" s="1281"/>
      <c r="N43" s="1281"/>
      <c r="O43" s="1281"/>
      <c r="P43" s="286"/>
      <c r="Q43" s="285"/>
      <c r="R43" s="280"/>
      <c r="S43" s="1253">
        <f>INDEX(PT_DIFFERENTIATION_NUM_NTAR,MATCH(A43,PT_DIFFERENTIATION_NTAR_ID,0))</f>
        <v>0</v>
      </c>
      <c r="T43" s="217" t="s">
        <v>189</v>
      </c>
      <c r="U43" s="219"/>
      <c r="V43" s="6749"/>
      <c r="W43" s="6750"/>
      <c r="X43" s="6750"/>
      <c r="Y43" s="6750"/>
      <c r="Z43" s="6750"/>
      <c r="AA43" s="6750"/>
      <c r="AB43" s="6750"/>
      <c r="AC43" s="6751"/>
      <c r="AD43" s="6749" t="str">
        <f>INDEX(PT_DIFFERENTIATION_NTAR,MATCH(A43,PT_DIFFERENTIATION_NTAR_ID,0))</f>
        <v/>
      </c>
      <c r="AE43" s="6750"/>
      <c r="AF43" s="6750"/>
      <c r="AG43" s="6750"/>
      <c r="AH43" s="6750"/>
      <c r="AI43" s="6750"/>
      <c r="AJ43" s="6750"/>
      <c r="AK43" s="6750"/>
      <c r="AL43" s="675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316</v>
      </c>
      <c r="B44" s="1279" t="s">
        <v>317</v>
      </c>
      <c r="C44" s="1279"/>
      <c r="D44" s="1279"/>
      <c r="E44" s="6764"/>
      <c r="F44" s="6763">
        <v>1</v>
      </c>
      <c r="G44" s="1279"/>
      <c r="H44" s="1279"/>
      <c r="I44" s="1279"/>
      <c r="J44" s="1279"/>
      <c r="K44" s="1279"/>
      <c r="L44" s="1280"/>
      <c r="M44" s="1281"/>
      <c r="N44" s="1281"/>
      <c r="O44" s="1281"/>
      <c r="P44" s="1249"/>
      <c r="Q44" s="277"/>
      <c r="R44" s="278"/>
      <c r="S44" s="1253" t="str">
        <f>INDEX(PT_DIFFERENTIATION_NUM_TER,MATCH(B44,PT_DIFFERENTIATION_TER_ID,0))</f>
        <v>.</v>
      </c>
      <c r="T44" s="229" t="s">
        <v>517</v>
      </c>
      <c r="U44" s="219"/>
      <c r="V44" s="6749"/>
      <c r="W44" s="6750"/>
      <c r="X44" s="6750"/>
      <c r="Y44" s="6750"/>
      <c r="Z44" s="6750"/>
      <c r="AA44" s="6750"/>
      <c r="AB44" s="6750"/>
      <c r="AC44" s="6751"/>
      <c r="AD44" s="6749" t="str">
        <f>INDEX(PT_DIFFERENTIATION_TER,MATCH(B44,PT_DIFFERENTIATION_TER_ID,0))</f>
        <v/>
      </c>
      <c r="AE44" s="6750"/>
      <c r="AF44" s="6750"/>
      <c r="AG44" s="6750"/>
      <c r="AH44" s="6750"/>
      <c r="AI44" s="6750"/>
      <c r="AJ44" s="6750"/>
      <c r="AK44" s="6750"/>
      <c r="AL44" s="6751"/>
      <c r="AM44" s="1177" t="s">
        <v>518</v>
      </c>
      <c r="AO44" s="426"/>
      <c r="AP44" s="426" t="str">
        <f t="shared" si="1"/>
        <v>Территория действия тарифа</v>
      </c>
      <c r="AQ44" s="426"/>
      <c r="AR44" s="426"/>
    </row>
    <row r="45" spans="1:44" ht="23.25" customHeight="1">
      <c r="A45" s="1279" t="s">
        <v>316</v>
      </c>
      <c r="B45" s="1279" t="s">
        <v>317</v>
      </c>
      <c r="C45" s="1279" t="s">
        <v>318</v>
      </c>
      <c r="D45" s="1279"/>
      <c r="E45" s="6764"/>
      <c r="F45" s="6764"/>
      <c r="G45" s="6763">
        <v>1</v>
      </c>
      <c r="H45" s="1279"/>
      <c r="I45" s="1279"/>
      <c r="J45" s="1279"/>
      <c r="K45" s="1279"/>
      <c r="L45" s="1280"/>
      <c r="M45" s="1281"/>
      <c r="N45" s="1281"/>
      <c r="O45" s="1281"/>
      <c r="P45" s="279"/>
      <c r="Q45" s="277"/>
      <c r="R45" s="278"/>
      <c r="S45" s="1253" t="str">
        <f>INDEX(PT_DIFFERENTIATION_NUM_CS,MATCH(C45,PT_DIFFERENTIATION_CS_ID,0))</f>
        <v>..</v>
      </c>
      <c r="T45" s="230" t="s">
        <v>519</v>
      </c>
      <c r="U45" s="219"/>
      <c r="V45" s="6749"/>
      <c r="W45" s="6750"/>
      <c r="X45" s="6750"/>
      <c r="Y45" s="6750"/>
      <c r="Z45" s="6750"/>
      <c r="AA45" s="6750"/>
      <c r="AB45" s="6750"/>
      <c r="AC45" s="6751"/>
      <c r="AD45" s="6749" t="str">
        <f>INDEX(PT_DIFFERENTIATION_CS,MATCH(C45,PT_DIFFERENTIATION_CS_ID,0))</f>
        <v/>
      </c>
      <c r="AE45" s="6750"/>
      <c r="AF45" s="6750"/>
      <c r="AG45" s="6750"/>
      <c r="AH45" s="6750"/>
      <c r="AI45" s="6750"/>
      <c r="AJ45" s="6750"/>
      <c r="AK45" s="6750"/>
      <c r="AL45" s="6751"/>
      <c r="AM45" s="1177" t="s">
        <v>520</v>
      </c>
      <c r="AO45" s="426"/>
      <c r="AP45" s="426" t="str">
        <f t="shared" si="1"/>
        <v xml:space="preserve">Наименование системы теплоснабжения </v>
      </c>
      <c r="AQ45" s="426"/>
      <c r="AR45" s="426"/>
    </row>
    <row r="46" spans="1:44" ht="21" customHeight="1">
      <c r="A46" s="1279" t="s">
        <v>316</v>
      </c>
      <c r="B46" s="1279" t="s">
        <v>317</v>
      </c>
      <c r="C46" s="1279" t="s">
        <v>318</v>
      </c>
      <c r="D46" s="1279" t="s">
        <v>319</v>
      </c>
      <c r="E46" s="6764"/>
      <c r="F46" s="6764"/>
      <c r="G46" s="6764"/>
      <c r="H46" s="6763">
        <v>1</v>
      </c>
      <c r="I46" s="1279"/>
      <c r="J46" s="1279"/>
      <c r="K46" s="1279"/>
      <c r="L46" s="1280"/>
      <c r="M46" s="1281"/>
      <c r="N46" s="1281"/>
      <c r="O46" s="1281"/>
      <c r="P46" s="279"/>
      <c r="Q46" s="277"/>
      <c r="R46" s="278"/>
      <c r="S46" s="1253" t="str">
        <f>INDEX(PT_DIFFERENTIATION_NUM_IST_TE,MATCH(D46,PT_DIFFERENTIATION_IST_TE_ID,0))</f>
        <v>...</v>
      </c>
      <c r="T46" s="231" t="s">
        <v>521</v>
      </c>
      <c r="U46" s="219"/>
      <c r="V46" s="6749"/>
      <c r="W46" s="6750"/>
      <c r="X46" s="6750"/>
      <c r="Y46" s="6750"/>
      <c r="Z46" s="6750"/>
      <c r="AA46" s="6750"/>
      <c r="AB46" s="6750"/>
      <c r="AC46" s="6751"/>
      <c r="AD46" s="6749" t="str">
        <f>INDEX(PT_DIFFERENTIATION_IST_TE,MATCH(D46,PT_DIFFERENTIATION_IST_TE_ID,0))</f>
        <v/>
      </c>
      <c r="AE46" s="6750"/>
      <c r="AF46" s="6750"/>
      <c r="AG46" s="6750"/>
      <c r="AH46" s="6750"/>
      <c r="AI46" s="6750"/>
      <c r="AJ46" s="6750"/>
      <c r="AK46" s="6750"/>
      <c r="AL46" s="6751"/>
      <c r="AM46" s="1177" t="s">
        <v>522</v>
      </c>
      <c r="AO46" s="426"/>
      <c r="AP46" s="426" t="str">
        <f t="shared" si="1"/>
        <v xml:space="preserve">Источник тепловой энергии  </v>
      </c>
      <c r="AQ46" s="426"/>
      <c r="AR46" s="426"/>
    </row>
    <row r="47" spans="1:44" s="1817" customFormat="1" ht="0" hidden="1" customHeight="1">
      <c r="A47" s="1260" t="s">
        <v>316</v>
      </c>
      <c r="B47" s="1260" t="s">
        <v>317</v>
      </c>
      <c r="C47" s="1260" t="s">
        <v>318</v>
      </c>
      <c r="D47" s="1260" t="s">
        <v>319</v>
      </c>
      <c r="E47" s="6764"/>
      <c r="F47" s="6764"/>
      <c r="G47" s="6764"/>
      <c r="H47" s="6764"/>
      <c r="I47" s="6761" t="str">
        <f>S46&amp;".1"</f>
        <v>....1</v>
      </c>
      <c r="J47" s="1260"/>
      <c r="K47" s="1260"/>
      <c r="L47" s="1263" t="s">
        <v>523</v>
      </c>
      <c r="M47" s="436"/>
      <c r="N47" s="436"/>
      <c r="O47" s="436"/>
      <c r="P47" s="6762">
        <v>1</v>
      </c>
      <c r="Q47" s="1248"/>
      <c r="R47" s="281"/>
      <c r="S47" s="949"/>
      <c r="T47" s="1299"/>
      <c r="U47" s="1300"/>
      <c r="V47" s="6790"/>
      <c r="W47" s="6791"/>
      <c r="X47" s="6791"/>
      <c r="Y47" s="6791"/>
      <c r="Z47" s="6791"/>
      <c r="AA47" s="6791"/>
      <c r="AB47" s="6791"/>
      <c r="AC47" s="6792"/>
      <c r="AD47" s="6790"/>
      <c r="AE47" s="6791"/>
      <c r="AF47" s="6791"/>
      <c r="AG47" s="6791"/>
      <c r="AH47" s="6791"/>
      <c r="AI47" s="6791"/>
      <c r="AJ47" s="6791"/>
      <c r="AK47" s="6791"/>
      <c r="AL47" s="6792"/>
      <c r="AM47" s="1301"/>
      <c r="AO47" s="426"/>
      <c r="AP47" s="426" t="str">
        <f t="shared" si="1"/>
        <v/>
      </c>
      <c r="AQ47" s="426"/>
      <c r="AR47" s="426"/>
    </row>
    <row r="48" spans="1:44" ht="21" customHeight="1">
      <c r="A48" s="1279" t="s">
        <v>316</v>
      </c>
      <c r="B48" s="1279" t="s">
        <v>317</v>
      </c>
      <c r="C48" s="1279" t="s">
        <v>318</v>
      </c>
      <c r="D48" s="1279" t="s">
        <v>319</v>
      </c>
      <c r="E48" s="6764"/>
      <c r="F48" s="6764"/>
      <c r="G48" s="6764"/>
      <c r="H48" s="6764"/>
      <c r="I48" s="6784"/>
      <c r="J48" s="6761" t="str">
        <f>S46&amp;".1"</f>
        <v>....1</v>
      </c>
      <c r="K48" s="1279"/>
      <c r="L48" s="1280" t="s">
        <v>526</v>
      </c>
      <c r="P48" s="6762"/>
      <c r="Q48" s="6762">
        <v>1</v>
      </c>
      <c r="R48" s="282"/>
      <c r="S48" s="1253" t="str">
        <f>$J48</f>
        <v>....1</v>
      </c>
      <c r="T48" s="205" t="s">
        <v>527</v>
      </c>
      <c r="U48" s="219"/>
      <c r="V48" s="6752"/>
      <c r="W48" s="6753"/>
      <c r="X48" s="6753"/>
      <c r="Y48" s="6753"/>
      <c r="Z48" s="6753"/>
      <c r="AA48" s="6753"/>
      <c r="AB48" s="6753"/>
      <c r="AC48" s="6754"/>
      <c r="AD48" s="6752"/>
      <c r="AE48" s="6753"/>
      <c r="AF48" s="6753"/>
      <c r="AG48" s="6753"/>
      <c r="AH48" s="6753"/>
      <c r="AI48" s="6753"/>
      <c r="AJ48" s="6753"/>
      <c r="AK48" s="6753"/>
      <c r="AL48" s="6754"/>
      <c r="AM48" s="1177" t="s">
        <v>528</v>
      </c>
      <c r="AO48" s="426"/>
      <c r="AP48" s="426" t="str">
        <f t="shared" si="1"/>
        <v>Группа потребителей</v>
      </c>
      <c r="AQ48" s="426"/>
      <c r="AR48" s="426"/>
    </row>
    <row r="49" spans="1:44" ht="21" customHeight="1">
      <c r="A49" s="1279" t="s">
        <v>316</v>
      </c>
      <c r="B49" s="1279" t="s">
        <v>317</v>
      </c>
      <c r="C49" s="1279" t="s">
        <v>318</v>
      </c>
      <c r="D49" s="1279" t="s">
        <v>319</v>
      </c>
      <c r="E49" s="6764"/>
      <c r="F49" s="6764"/>
      <c r="G49" s="6764"/>
      <c r="H49" s="6764"/>
      <c r="I49" s="6784"/>
      <c r="J49" s="6784"/>
      <c r="K49" s="6761" t="str">
        <f>J48&amp;".1"</f>
        <v>....1.1</v>
      </c>
      <c r="L49" s="1280" t="s">
        <v>529</v>
      </c>
      <c r="P49" s="6762"/>
      <c r="Q49" s="6762"/>
      <c r="R49" s="282">
        <v>1</v>
      </c>
      <c r="S49" s="1253" t="str">
        <f>$K49</f>
        <v>....1.1</v>
      </c>
      <c r="T49" s="1264"/>
      <c r="U49" s="219"/>
      <c r="V49" s="668"/>
      <c r="W49" s="251"/>
      <c r="X49" s="668"/>
      <c r="Y49" s="1176"/>
      <c r="Z49" s="6766"/>
      <c r="AA49" s="6610" t="s">
        <v>61</v>
      </c>
      <c r="AB49" s="6766"/>
      <c r="AC49" s="6610" t="s">
        <v>61</v>
      </c>
      <c r="AD49" s="668"/>
      <c r="AE49" s="251"/>
      <c r="AF49" s="668"/>
      <c r="AG49" s="1176"/>
      <c r="AH49" s="6766"/>
      <c r="AI49" s="6610" t="s">
        <v>61</v>
      </c>
      <c r="AJ49" s="6785"/>
      <c r="AK49" s="6610" t="s">
        <v>61</v>
      </c>
      <c r="AL49" s="1265"/>
      <c r="AM49" s="6758" t="s">
        <v>569</v>
      </c>
      <c r="AN49" s="437" t="e">
        <f ca="1">STRCHECKDATE(V50:AL50)</f>
        <v>#NAME?</v>
      </c>
      <c r="AO49" s="426"/>
      <c r="AP49" s="426" t="str">
        <f t="shared" si="1"/>
        <v/>
      </c>
      <c r="AQ49" s="426"/>
      <c r="AR49" s="426"/>
    </row>
    <row r="50" spans="1:44" ht="0" hidden="1" customHeight="1">
      <c r="A50" s="1279" t="s">
        <v>316</v>
      </c>
      <c r="B50" s="1279" t="s">
        <v>317</v>
      </c>
      <c r="C50" s="1279" t="s">
        <v>318</v>
      </c>
      <c r="D50" s="1279" t="s">
        <v>319</v>
      </c>
      <c r="E50" s="6764"/>
      <c r="F50" s="6764"/>
      <c r="G50" s="6764"/>
      <c r="H50" s="6764"/>
      <c r="I50" s="6784"/>
      <c r="J50" s="6784"/>
      <c r="K50" s="6761"/>
      <c r="L50" s="1280"/>
      <c r="P50" s="6762"/>
      <c r="Q50" s="6762"/>
      <c r="R50" s="282"/>
      <c r="S50" s="1259"/>
      <c r="T50" s="219"/>
      <c r="U50" s="219"/>
      <c r="V50" s="251"/>
      <c r="W50" s="251"/>
      <c r="X50" s="251"/>
      <c r="Y50" s="255" t="str">
        <f>Z49&amp;"-"&amp;AB49</f>
        <v>-</v>
      </c>
      <c r="Z50" s="6767"/>
      <c r="AA50" s="6610"/>
      <c r="AB50" s="6767"/>
      <c r="AC50" s="6610"/>
      <c r="AD50" s="251"/>
      <c r="AE50" s="251"/>
      <c r="AF50" s="251"/>
      <c r="AG50" s="255" t="str">
        <f>AH49&amp;"-"&amp;AJ49</f>
        <v>-</v>
      </c>
      <c r="AH50" s="6767"/>
      <c r="AI50" s="6610"/>
      <c r="AJ50" s="6786"/>
      <c r="AK50" s="6610"/>
      <c r="AL50" s="1266"/>
      <c r="AM50" s="6759"/>
      <c r="AO50" s="426"/>
      <c r="AP50" s="426" t="str">
        <f t="shared" si="1"/>
        <v/>
      </c>
      <c r="AQ50" s="426"/>
      <c r="AR50" s="426"/>
    </row>
    <row r="51" spans="1:44" ht="11.25" customHeight="1">
      <c r="A51" s="1279" t="s">
        <v>316</v>
      </c>
      <c r="B51" s="1279" t="s">
        <v>317</v>
      </c>
      <c r="C51" s="1279" t="s">
        <v>318</v>
      </c>
      <c r="D51" s="1279" t="s">
        <v>319</v>
      </c>
      <c r="E51" s="6764"/>
      <c r="F51" s="6764"/>
      <c r="G51" s="6764"/>
      <c r="H51" s="6764"/>
      <c r="I51" s="6784"/>
      <c r="J51" s="6761"/>
      <c r="K51" s="1279"/>
      <c r="L51" s="1280"/>
      <c r="P51" s="6762"/>
      <c r="Q51" s="6762"/>
      <c r="R51" s="281"/>
      <c r="S51" s="1198"/>
      <c r="T51" s="206" t="s">
        <v>531</v>
      </c>
      <c r="U51" s="295"/>
      <c r="V51" s="295"/>
      <c r="W51" s="295"/>
      <c r="X51" s="295"/>
      <c r="Y51" s="295"/>
      <c r="Z51" s="295"/>
      <c r="AA51" s="295"/>
      <c r="AB51" s="295"/>
      <c r="AC51" s="295"/>
      <c r="AD51" s="295"/>
      <c r="AE51" s="295"/>
      <c r="AF51" s="295"/>
      <c r="AG51" s="295"/>
      <c r="AH51" s="295"/>
      <c r="AI51" s="295"/>
      <c r="AJ51" s="295"/>
      <c r="AK51" s="295"/>
      <c r="AL51" s="250"/>
      <c r="AM51" s="6760"/>
      <c r="AO51" s="426"/>
      <c r="AP51" s="426" t="str">
        <f t="shared" si="1"/>
        <v>Добавить вид теплоносителя (параметры теплоносителя)</v>
      </c>
      <c r="AQ51" s="426"/>
      <c r="AR51" s="426"/>
    </row>
    <row r="52" spans="1:44" ht="11.25" customHeight="1">
      <c r="A52" s="1279" t="s">
        <v>316</v>
      </c>
      <c r="B52" s="1279" t="s">
        <v>317</v>
      </c>
      <c r="C52" s="1279" t="s">
        <v>318</v>
      </c>
      <c r="D52" s="1279" t="s">
        <v>319</v>
      </c>
      <c r="E52" s="6764"/>
      <c r="F52" s="6764"/>
      <c r="G52" s="6764"/>
      <c r="H52" s="6764"/>
      <c r="I52" s="6761"/>
      <c r="J52" s="1279"/>
      <c r="K52" s="1279"/>
      <c r="L52" s="1280"/>
      <c r="P52" s="6762"/>
      <c r="Q52" s="1248"/>
      <c r="R52" s="281"/>
      <c r="S52" s="1198"/>
      <c r="T52" s="292" t="s">
        <v>532</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316</v>
      </c>
      <c r="B53" s="1279" t="s">
        <v>317</v>
      </c>
      <c r="C53" s="1279" t="s">
        <v>318</v>
      </c>
      <c r="D53" s="1279" t="s">
        <v>319</v>
      </c>
      <c r="E53" s="6764"/>
      <c r="F53" s="6764"/>
      <c r="G53" s="6764"/>
      <c r="H53" s="6763"/>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067" customFormat="1" ht="0" hidden="1" customHeight="1">
      <c r="A54" s="1260" t="s">
        <v>316</v>
      </c>
      <c r="B54" s="1260" t="s">
        <v>317</v>
      </c>
      <c r="C54" s="1260" t="s">
        <v>318</v>
      </c>
      <c r="D54" s="1232"/>
      <c r="E54" s="6764"/>
      <c r="F54" s="6764"/>
      <c r="G54" s="6763"/>
      <c r="H54" s="1232"/>
      <c r="I54" s="1232"/>
      <c r="J54" s="1232"/>
      <c r="K54" s="1232"/>
      <c r="L54" s="1256"/>
      <c r="M54" s="1233"/>
      <c r="N54" s="1233"/>
      <c r="P54" s="1234"/>
      <c r="Q54" s="1235"/>
      <c r="R54" s="1234"/>
      <c r="S54" s="1240"/>
      <c r="T54" s="1243" t="s">
        <v>228</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067" customFormat="1" ht="0" hidden="1" customHeight="1">
      <c r="A55" s="1260" t="s">
        <v>316</v>
      </c>
      <c r="B55" s="1260" t="s">
        <v>317</v>
      </c>
      <c r="C55" s="1232"/>
      <c r="D55" s="1232"/>
      <c r="E55" s="6764"/>
      <c r="F55" s="6763"/>
      <c r="G55" s="1232"/>
      <c r="H55" s="1232"/>
      <c r="I55" s="1232"/>
      <c r="J55" s="1232"/>
      <c r="K55" s="1232"/>
      <c r="L55" s="1256"/>
      <c r="M55" s="1239"/>
      <c r="N55" s="1239"/>
      <c r="P55" s="1234"/>
      <c r="Q55" s="1235"/>
      <c r="R55" s="1234"/>
      <c r="S55" s="1240"/>
      <c r="T55" s="1243" t="s">
        <v>229</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17" customFormat="1" ht="0" hidden="1" customHeight="1">
      <c r="A56" s="1260" t="s">
        <v>316</v>
      </c>
      <c r="B56" s="1260"/>
      <c r="C56" s="1260"/>
      <c r="D56" s="1260"/>
      <c r="E56" s="6763"/>
      <c r="F56" s="1260"/>
      <c r="G56" s="1260"/>
      <c r="H56" s="1260"/>
      <c r="I56" s="1260"/>
      <c r="J56" s="1260"/>
      <c r="K56" s="1260"/>
      <c r="L56" s="1263"/>
      <c r="M56" s="1239"/>
      <c r="N56" s="1239"/>
      <c r="O56" s="444"/>
      <c r="P56" s="313"/>
      <c r="Q56" s="1261"/>
      <c r="R56" s="313"/>
      <c r="S56" s="1240"/>
      <c r="T56" s="1243" t="s">
        <v>272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067"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273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6783"/>
      <c r="U59" s="6783"/>
      <c r="V59" s="6783"/>
      <c r="W59" s="6783"/>
      <c r="X59" s="6783"/>
      <c r="Y59" s="6783"/>
      <c r="Z59" s="6783"/>
      <c r="AA59" s="6783"/>
      <c r="AB59" s="6783"/>
      <c r="AC59" s="6783"/>
      <c r="AD59" s="6783"/>
      <c r="AE59" s="6783"/>
      <c r="AF59" s="6783"/>
      <c r="AG59" s="6783"/>
      <c r="AH59" s="6783"/>
      <c r="AI59" s="6783"/>
      <c r="AJ59" s="6783"/>
      <c r="AK59" s="6783"/>
      <c r="AL59" s="6783"/>
      <c r="AM59" s="6783"/>
    </row>
    <row r="60" spans="1:44" ht="14.25" customHeight="1">
      <c r="O60" s="462"/>
      <c r="T60" s="6783"/>
      <c r="U60" s="6783"/>
      <c r="V60" s="6783"/>
      <c r="W60" s="6783"/>
      <c r="X60" s="6783"/>
      <c r="Y60" s="6783"/>
      <c r="Z60" s="6783"/>
      <c r="AA60" s="6783"/>
      <c r="AB60" s="6783"/>
      <c r="AC60" s="6783"/>
      <c r="AD60" s="6783"/>
      <c r="AE60" s="6783"/>
      <c r="AF60" s="6783"/>
      <c r="AG60" s="6783"/>
      <c r="AH60" s="6783"/>
      <c r="AI60" s="6783"/>
      <c r="AJ60" s="6783"/>
      <c r="AK60" s="6783"/>
      <c r="AL60" s="6783"/>
      <c r="AM60" s="6783"/>
    </row>
    <row r="61" spans="1:44" ht="14.25" customHeight="1">
      <c r="O61" s="462"/>
      <c r="T61" s="6783"/>
      <c r="U61" s="6783"/>
      <c r="V61" s="6783"/>
      <c r="W61" s="6783"/>
      <c r="X61" s="6783"/>
      <c r="Y61" s="6783"/>
      <c r="Z61" s="6783"/>
      <c r="AA61" s="6783"/>
      <c r="AB61" s="6783"/>
      <c r="AC61" s="6783"/>
      <c r="AD61" s="6783"/>
      <c r="AE61" s="6783"/>
      <c r="AF61" s="6783"/>
      <c r="AG61" s="6783"/>
      <c r="AH61" s="6783"/>
      <c r="AI61" s="6783"/>
      <c r="AJ61" s="6783"/>
      <c r="AK61" s="6783"/>
      <c r="AL61" s="6783"/>
      <c r="AM61" s="6783"/>
    </row>
    <row r="62" spans="1:44" ht="14.25" customHeight="1">
      <c r="O62" s="462"/>
    </row>
    <row r="63" spans="1:44" ht="14.25" customHeight="1">
      <c r="O63" s="462"/>
      <c r="S63" s="1164"/>
      <c r="T63" s="6681"/>
      <c r="U63" s="6783"/>
      <c r="V63" s="6783"/>
      <c r="W63" s="6783"/>
      <c r="X63" s="6783"/>
      <c r="Y63" s="6783"/>
      <c r="Z63" s="6783"/>
      <c r="AA63" s="6783"/>
      <c r="AB63" s="6783"/>
      <c r="AC63" s="6783"/>
      <c r="AD63" s="6783"/>
      <c r="AE63" s="6783"/>
      <c r="AF63" s="6783"/>
      <c r="AG63" s="6783"/>
      <c r="AH63" s="6783"/>
      <c r="AI63" s="6783"/>
      <c r="AJ63" s="6783"/>
      <c r="AK63" s="6783"/>
      <c r="AL63" s="6783"/>
      <c r="AM63" s="6783"/>
    </row>
    <row r="64" spans="1:44" ht="14.25" customHeight="1">
      <c r="O64" s="462"/>
      <c r="T64" s="6783"/>
      <c r="U64" s="6783"/>
      <c r="V64" s="6783"/>
      <c r="W64" s="6783"/>
      <c r="X64" s="6783"/>
      <c r="Y64" s="6783"/>
      <c r="Z64" s="6783"/>
      <c r="AA64" s="6783"/>
      <c r="AB64" s="6783"/>
      <c r="AC64" s="6783"/>
      <c r="AD64" s="6783"/>
      <c r="AE64" s="6783"/>
      <c r="AF64" s="6783"/>
      <c r="AG64" s="6783"/>
      <c r="AH64" s="6783"/>
      <c r="AI64" s="6783"/>
      <c r="AJ64" s="6783"/>
      <c r="AK64" s="6783"/>
      <c r="AL64" s="6783"/>
      <c r="AM64" s="6783"/>
    </row>
    <row r="65" spans="20:39" ht="14.25" customHeight="1">
      <c r="T65" s="6783"/>
      <c r="U65" s="6783"/>
      <c r="V65" s="6783"/>
      <c r="W65" s="6783"/>
      <c r="X65" s="6783"/>
      <c r="Y65" s="6783"/>
      <c r="Z65" s="6783"/>
      <c r="AA65" s="6783"/>
      <c r="AB65" s="6783"/>
      <c r="AC65" s="6783"/>
      <c r="AD65" s="6783"/>
      <c r="AE65" s="6783"/>
      <c r="AF65" s="6783"/>
      <c r="AG65" s="6783"/>
      <c r="AH65" s="6783"/>
      <c r="AI65" s="6783"/>
      <c r="AJ65" s="6783"/>
      <c r="AK65" s="6783"/>
      <c r="AL65" s="6783"/>
      <c r="AM65" s="678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O113"/>
  <sheetViews>
    <sheetView showGridLines="0" topLeftCell="R29" zoomScale="90" workbookViewId="0">
      <selection activeCell="V97" sqref="V97"/>
    </sheetView>
  </sheetViews>
  <sheetFormatPr defaultColWidth="10.5703125" defaultRowHeight="14.25" customHeight="1"/>
  <cols>
    <col min="1" max="1" width="10.5703125" style="2042" hidden="1"/>
    <col min="2" max="2" width="11" style="2042" hidden="1" customWidth="1"/>
    <col min="3" max="3" width="10.5703125" style="2042" hidden="1"/>
    <col min="4" max="4" width="11.85546875" style="2042" hidden="1" customWidth="1"/>
    <col min="5" max="5" width="10" style="2042" hidden="1" customWidth="1"/>
    <col min="6" max="6" width="8.7109375" style="2042" hidden="1" customWidth="1"/>
    <col min="7" max="7" width="7.5703125" style="2042" hidden="1" customWidth="1"/>
    <col min="8" max="8" width="11.42578125" style="2042" hidden="1" customWidth="1"/>
    <col min="9" max="9" width="12" style="2042" hidden="1" customWidth="1"/>
    <col min="10" max="10" width="9.85546875" style="2042" hidden="1" customWidth="1"/>
    <col min="11" max="12" width="11.42578125" style="2042" hidden="1" customWidth="1"/>
    <col min="13" max="13" width="19.140625" style="5773" hidden="1" customWidth="1"/>
    <col min="14" max="15" width="12.28515625" style="2073" hidden="1" customWidth="1"/>
    <col min="16" max="16" width="23.42578125" style="2073" hidden="1" customWidth="1"/>
    <col min="17" max="17" width="3.7109375" style="2073" hidden="1" customWidth="1"/>
    <col min="18" max="20" width="3.7109375" style="2075" customWidth="1"/>
    <col min="21" max="21" width="12.7109375" style="2076" customWidth="1"/>
    <col min="22" max="22" width="32" style="2042" customWidth="1"/>
    <col min="23" max="23" width="0.140625" style="2042" customWidth="1"/>
    <col min="24" max="28" width="21.7109375" style="2042" hidden="1" customWidth="1"/>
    <col min="29" max="29" width="11.7109375" style="2042" hidden="1" customWidth="1"/>
    <col min="30" max="30" width="3.7109375" style="2042" hidden="1" customWidth="1"/>
    <col min="31" max="31" width="11.7109375" style="2042" hidden="1" customWidth="1"/>
    <col min="32" max="32" width="8.5703125" style="2042" hidden="1" customWidth="1"/>
    <col min="33" max="37" width="21.7109375" style="2042" customWidth="1"/>
    <col min="38" max="38" width="11.7109375" style="2042" customWidth="1"/>
    <col min="39" max="39" width="3.7109375" style="2042" customWidth="1"/>
    <col min="40" max="40" width="11.7109375" style="2042" customWidth="1"/>
    <col min="41" max="41" width="8.5703125" style="2042" customWidth="1"/>
    <col min="86" max="86" width="10.5703125" hidden="1"/>
    <col min="87" max="87" width="4.7109375" style="2042" customWidth="1"/>
    <col min="88" max="88" width="115.7109375" style="2042" customWidth="1"/>
    <col min="89" max="90" width="10.5703125" style="1817"/>
    <col min="91" max="91" width="11.140625" style="1817" customWidth="1"/>
    <col min="92" max="93" width="10.5703125" style="1817"/>
  </cols>
  <sheetData>
    <row r="1" spans="1:93" ht="14.25" hidden="1" customHeight="1">
      <c r="AB1" s="254"/>
      <c r="AC1" s="254"/>
      <c r="AK1" s="254"/>
      <c r="AL1" s="254"/>
      <c r="AP1" s="2077"/>
      <c r="AQ1" s="2077"/>
      <c r="AR1" s="2077"/>
      <c r="AS1" s="2077"/>
      <c r="AT1" s="2077"/>
      <c r="AU1" s="2077"/>
      <c r="AV1" s="2077"/>
      <c r="AW1" s="2077"/>
      <c r="AX1" s="2077"/>
      <c r="AY1" s="2077"/>
      <c r="AZ1" s="2077"/>
      <c r="BA1" s="2077"/>
      <c r="BB1" s="2077"/>
      <c r="BC1" s="2077"/>
      <c r="BD1" s="2077"/>
      <c r="BE1" s="2077"/>
      <c r="BF1" s="2077"/>
      <c r="BG1" s="2077"/>
      <c r="BH1" s="2077"/>
      <c r="BI1" s="2077"/>
      <c r="BJ1" s="2077"/>
      <c r="BK1" s="2077"/>
      <c r="BL1" s="2077"/>
      <c r="BM1" s="2077"/>
      <c r="BN1" s="2077"/>
      <c r="BO1" s="2077"/>
      <c r="BP1" s="2077"/>
      <c r="BQ1" s="2077"/>
      <c r="BR1" s="2077"/>
      <c r="BS1" s="2077"/>
      <c r="BT1" s="2077"/>
      <c r="BU1" s="2077"/>
      <c r="BV1" s="2077"/>
      <c r="BW1" s="2077"/>
      <c r="BX1" s="2077"/>
      <c r="BY1" s="2077"/>
      <c r="BZ1" s="2077"/>
      <c r="CA1" s="2077"/>
      <c r="CB1" s="2077"/>
      <c r="CC1" s="2077"/>
      <c r="CD1" s="2077"/>
      <c r="CE1" s="2077"/>
      <c r="CF1" s="2077"/>
      <c r="CG1" s="2077"/>
      <c r="CH1" s="2077"/>
    </row>
    <row r="2" spans="1:93" ht="21" hidden="1" customHeight="1">
      <c r="A2" s="1186"/>
      <c r="B2" s="1186"/>
      <c r="C2" s="1186"/>
      <c r="D2" s="1186"/>
      <c r="E2" s="6793">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189</v>
      </c>
      <c r="W2" s="219"/>
      <c r="X2" s="6749"/>
      <c r="Y2" s="6750"/>
      <c r="Z2" s="6750"/>
      <c r="AA2" s="6750"/>
      <c r="AB2" s="6750"/>
      <c r="AC2" s="6750"/>
      <c r="AD2" s="6750"/>
      <c r="AE2" s="6750"/>
      <c r="AF2" s="6751"/>
      <c r="AG2" s="6749" t="e">
        <f>INDEX(PT_DIFFERENTIATION_NTAR,MATCH(A2,PT_DIFFERENTIATION_NTAR_ID,0))</f>
        <v>#N/A</v>
      </c>
      <c r="AH2" s="6750"/>
      <c r="AI2" s="6750"/>
      <c r="AJ2" s="6750"/>
      <c r="AK2" s="6750"/>
      <c r="AL2" s="6750"/>
      <c r="AM2" s="6750"/>
      <c r="AN2" s="6750"/>
      <c r="AO2" s="6750"/>
      <c r="AP2" s="6749"/>
      <c r="AQ2" s="6750"/>
      <c r="AR2" s="6750"/>
      <c r="AS2" s="6750"/>
      <c r="AT2" s="6750"/>
      <c r="AU2" s="6750"/>
      <c r="AV2" s="6750"/>
      <c r="AW2" s="6750"/>
      <c r="AX2" s="6751"/>
      <c r="AY2" s="6749"/>
      <c r="AZ2" s="6750"/>
      <c r="BA2" s="6750"/>
      <c r="BB2" s="6750"/>
      <c r="BC2" s="6750"/>
      <c r="BD2" s="6750"/>
      <c r="BE2" s="6750"/>
      <c r="BF2" s="6750"/>
      <c r="BG2" s="6751"/>
      <c r="BH2" s="6749"/>
      <c r="BI2" s="6750"/>
      <c r="BJ2" s="6750"/>
      <c r="BK2" s="6750"/>
      <c r="BL2" s="6750"/>
      <c r="BM2" s="6750"/>
      <c r="BN2" s="6750"/>
      <c r="BO2" s="6750"/>
      <c r="BP2" s="6751"/>
      <c r="BQ2" s="6749"/>
      <c r="BR2" s="6750"/>
      <c r="BS2" s="6750"/>
      <c r="BT2" s="6750"/>
      <c r="BU2" s="6750"/>
      <c r="BV2" s="6750"/>
      <c r="BW2" s="6750"/>
      <c r="BX2" s="6750"/>
      <c r="BY2" s="6751"/>
      <c r="BZ2" s="6749"/>
      <c r="CA2" s="6750"/>
      <c r="CB2" s="6750"/>
      <c r="CC2" s="6750"/>
      <c r="CD2" s="6750"/>
      <c r="CE2" s="6750"/>
      <c r="CF2" s="6750"/>
      <c r="CG2" s="6750"/>
      <c r="CH2" s="6751"/>
      <c r="CI2" s="6751"/>
      <c r="CJ2" s="1177" t="s">
        <v>516</v>
      </c>
      <c r="CL2" s="426"/>
      <c r="CM2" s="426" t="str">
        <f t="shared" ref="CM2:CM8" si="0">IF(V2="","",V2)</f>
        <v>Наименование тарифа</v>
      </c>
      <c r="CN2" s="426"/>
      <c r="CO2" s="426"/>
    </row>
    <row r="3" spans="1:93" ht="21" hidden="1" customHeight="1">
      <c r="A3" s="1186"/>
      <c r="B3" s="1186"/>
      <c r="C3" s="1186"/>
      <c r="D3" s="1186"/>
      <c r="E3" s="6794"/>
      <c r="F3" s="6793">
        <v>1</v>
      </c>
      <c r="G3" s="1186"/>
      <c r="H3" s="1186"/>
      <c r="I3" s="1186"/>
      <c r="J3" s="1186"/>
      <c r="K3" s="1186"/>
      <c r="L3" s="1186"/>
      <c r="M3" s="1228"/>
      <c r="N3" s="608"/>
      <c r="O3" s="608"/>
      <c r="P3" s="608"/>
      <c r="Q3" s="1249"/>
      <c r="R3" s="277"/>
      <c r="S3" s="435"/>
      <c r="T3" s="278"/>
      <c r="U3" s="1253" t="e">
        <f>INDEX(PT_DIFFERENTIATION_NUM_TER,MATCH(B3,PT_DIFFERENTIATION_TER_ID,0))</f>
        <v>#N/A</v>
      </c>
      <c r="V3" s="229" t="s">
        <v>517</v>
      </c>
      <c r="W3" s="219"/>
      <c r="X3" s="6749"/>
      <c r="Y3" s="6750"/>
      <c r="Z3" s="6750"/>
      <c r="AA3" s="6750"/>
      <c r="AB3" s="6750"/>
      <c r="AC3" s="6750"/>
      <c r="AD3" s="6750"/>
      <c r="AE3" s="6750"/>
      <c r="AF3" s="6751"/>
      <c r="AG3" s="6749" t="e">
        <f>INDEX(PT_DIFFERENTIATION_TER,MATCH(B3,PT_DIFFERENTIATION_TER_ID,0))</f>
        <v>#N/A</v>
      </c>
      <c r="AH3" s="6750"/>
      <c r="AI3" s="6750"/>
      <c r="AJ3" s="6750"/>
      <c r="AK3" s="6750"/>
      <c r="AL3" s="6750"/>
      <c r="AM3" s="6750"/>
      <c r="AN3" s="6750"/>
      <c r="AO3" s="6750"/>
      <c r="AP3" s="6749"/>
      <c r="AQ3" s="6750"/>
      <c r="AR3" s="6750"/>
      <c r="AS3" s="6750"/>
      <c r="AT3" s="6750"/>
      <c r="AU3" s="6750"/>
      <c r="AV3" s="6750"/>
      <c r="AW3" s="6750"/>
      <c r="AX3" s="6751"/>
      <c r="AY3" s="6749"/>
      <c r="AZ3" s="6750"/>
      <c r="BA3" s="6750"/>
      <c r="BB3" s="6750"/>
      <c r="BC3" s="6750"/>
      <c r="BD3" s="6750"/>
      <c r="BE3" s="6750"/>
      <c r="BF3" s="6750"/>
      <c r="BG3" s="6751"/>
      <c r="BH3" s="6749"/>
      <c r="BI3" s="6750"/>
      <c r="BJ3" s="6750"/>
      <c r="BK3" s="6750"/>
      <c r="BL3" s="6750"/>
      <c r="BM3" s="6750"/>
      <c r="BN3" s="6750"/>
      <c r="BO3" s="6750"/>
      <c r="BP3" s="6751"/>
      <c r="BQ3" s="6749"/>
      <c r="BR3" s="6750"/>
      <c r="BS3" s="6750"/>
      <c r="BT3" s="6750"/>
      <c r="BU3" s="6750"/>
      <c r="BV3" s="6750"/>
      <c r="BW3" s="6750"/>
      <c r="BX3" s="6750"/>
      <c r="BY3" s="6751"/>
      <c r="BZ3" s="6749"/>
      <c r="CA3" s="6750"/>
      <c r="CB3" s="6750"/>
      <c r="CC3" s="6750"/>
      <c r="CD3" s="6750"/>
      <c r="CE3" s="6750"/>
      <c r="CF3" s="6750"/>
      <c r="CG3" s="6750"/>
      <c r="CH3" s="6751"/>
      <c r="CI3" s="6751"/>
      <c r="CJ3" s="1177" t="s">
        <v>518</v>
      </c>
      <c r="CL3" s="426"/>
      <c r="CM3" s="426" t="str">
        <f t="shared" si="0"/>
        <v>Территория действия тарифа</v>
      </c>
      <c r="CN3" s="426"/>
      <c r="CO3" s="426"/>
    </row>
    <row r="4" spans="1:93" ht="22.5" hidden="1" customHeight="1">
      <c r="A4" s="1186"/>
      <c r="B4" s="1186"/>
      <c r="C4" s="1186"/>
      <c r="D4" s="1186"/>
      <c r="E4" s="6794"/>
      <c r="F4" s="6794"/>
      <c r="G4" s="6793">
        <v>1</v>
      </c>
      <c r="H4" s="1186"/>
      <c r="I4" s="1186"/>
      <c r="J4" s="1186"/>
      <c r="K4" s="1186"/>
      <c r="L4" s="1186"/>
      <c r="M4" s="1228"/>
      <c r="N4" s="608"/>
      <c r="O4" s="608"/>
      <c r="P4" s="608"/>
      <c r="Q4" s="279"/>
      <c r="R4" s="277"/>
      <c r="S4" s="435"/>
      <c r="T4" s="278"/>
      <c r="U4" s="1253" t="e">
        <f>INDEX(PT_DIFFERENTIATION_NUM_CS,MATCH(C4,PT_DIFFERENTIATION_CS_ID,0))</f>
        <v>#N/A</v>
      </c>
      <c r="V4" s="230" t="s">
        <v>519</v>
      </c>
      <c r="W4" s="219"/>
      <c r="X4" s="6749"/>
      <c r="Y4" s="6750"/>
      <c r="Z4" s="6750"/>
      <c r="AA4" s="6750"/>
      <c r="AB4" s="6750"/>
      <c r="AC4" s="6750"/>
      <c r="AD4" s="6750"/>
      <c r="AE4" s="6750"/>
      <c r="AF4" s="6751"/>
      <c r="AG4" s="6749" t="e">
        <f>INDEX(PT_DIFFERENTIATION_CS,MATCH(C4,PT_DIFFERENTIATION_CS_ID,0))</f>
        <v>#N/A</v>
      </c>
      <c r="AH4" s="6750"/>
      <c r="AI4" s="6750"/>
      <c r="AJ4" s="6750"/>
      <c r="AK4" s="6750"/>
      <c r="AL4" s="6750"/>
      <c r="AM4" s="6750"/>
      <c r="AN4" s="6750"/>
      <c r="AO4" s="6750"/>
      <c r="AP4" s="6749"/>
      <c r="AQ4" s="6750"/>
      <c r="AR4" s="6750"/>
      <c r="AS4" s="6750"/>
      <c r="AT4" s="6750"/>
      <c r="AU4" s="6750"/>
      <c r="AV4" s="6750"/>
      <c r="AW4" s="6750"/>
      <c r="AX4" s="6751"/>
      <c r="AY4" s="6749"/>
      <c r="AZ4" s="6750"/>
      <c r="BA4" s="6750"/>
      <c r="BB4" s="6750"/>
      <c r="BC4" s="6750"/>
      <c r="BD4" s="6750"/>
      <c r="BE4" s="6750"/>
      <c r="BF4" s="6750"/>
      <c r="BG4" s="6751"/>
      <c r="BH4" s="6749"/>
      <c r="BI4" s="6750"/>
      <c r="BJ4" s="6750"/>
      <c r="BK4" s="6750"/>
      <c r="BL4" s="6750"/>
      <c r="BM4" s="6750"/>
      <c r="BN4" s="6750"/>
      <c r="BO4" s="6750"/>
      <c r="BP4" s="6751"/>
      <c r="BQ4" s="6749"/>
      <c r="BR4" s="6750"/>
      <c r="BS4" s="6750"/>
      <c r="BT4" s="6750"/>
      <c r="BU4" s="6750"/>
      <c r="BV4" s="6750"/>
      <c r="BW4" s="6750"/>
      <c r="BX4" s="6750"/>
      <c r="BY4" s="6751"/>
      <c r="BZ4" s="6749"/>
      <c r="CA4" s="6750"/>
      <c r="CB4" s="6750"/>
      <c r="CC4" s="6750"/>
      <c r="CD4" s="6750"/>
      <c r="CE4" s="6750"/>
      <c r="CF4" s="6750"/>
      <c r="CG4" s="6750"/>
      <c r="CH4" s="6751"/>
      <c r="CI4" s="6751"/>
      <c r="CJ4" s="1177" t="s">
        <v>520</v>
      </c>
      <c r="CL4" s="426"/>
      <c r="CM4" s="426" t="str">
        <f t="shared" si="0"/>
        <v xml:space="preserve">Наименование системы теплоснабжения </v>
      </c>
      <c r="CN4" s="426"/>
      <c r="CO4" s="426"/>
    </row>
    <row r="5" spans="1:93" ht="21" hidden="1" customHeight="1">
      <c r="A5" s="1186"/>
      <c r="B5" s="1186"/>
      <c r="C5" s="1186"/>
      <c r="D5" s="1186"/>
      <c r="E5" s="6794"/>
      <c r="F5" s="6794"/>
      <c r="G5" s="6794"/>
      <c r="H5" s="6793">
        <v>1</v>
      </c>
      <c r="I5" s="1186"/>
      <c r="J5" s="1186"/>
      <c r="K5" s="1186"/>
      <c r="L5" s="1186"/>
      <c r="M5" s="1228"/>
      <c r="N5" s="608"/>
      <c r="O5" s="608"/>
      <c r="P5" s="608"/>
      <c r="Q5" s="279"/>
      <c r="R5" s="277"/>
      <c r="S5" s="435"/>
      <c r="T5" s="278"/>
      <c r="U5" s="1253" t="e">
        <f>INDEX(PT_DIFFERENTIATION_NUM_IST_TE,MATCH(D5,PT_DIFFERENTIATION_IST_TE_ID,0))</f>
        <v>#N/A</v>
      </c>
      <c r="V5" s="231" t="s">
        <v>521</v>
      </c>
      <c r="W5" s="219"/>
      <c r="X5" s="6749"/>
      <c r="Y5" s="6750"/>
      <c r="Z5" s="6750"/>
      <c r="AA5" s="6750"/>
      <c r="AB5" s="6750"/>
      <c r="AC5" s="6750"/>
      <c r="AD5" s="6750"/>
      <c r="AE5" s="6750"/>
      <c r="AF5" s="6751"/>
      <c r="AG5" s="6749" t="e">
        <f>INDEX(PT_DIFFERENTIATION_IST_TE,MATCH(D5,PT_DIFFERENTIATION_IST_TE_ID,0))</f>
        <v>#N/A</v>
      </c>
      <c r="AH5" s="6750"/>
      <c r="AI5" s="6750"/>
      <c r="AJ5" s="6750"/>
      <c r="AK5" s="6750"/>
      <c r="AL5" s="6750"/>
      <c r="AM5" s="6750"/>
      <c r="AN5" s="6750"/>
      <c r="AO5" s="6750"/>
      <c r="AP5" s="6749"/>
      <c r="AQ5" s="6750"/>
      <c r="AR5" s="6750"/>
      <c r="AS5" s="6750"/>
      <c r="AT5" s="6750"/>
      <c r="AU5" s="6750"/>
      <c r="AV5" s="6750"/>
      <c r="AW5" s="6750"/>
      <c r="AX5" s="6751"/>
      <c r="AY5" s="6749"/>
      <c r="AZ5" s="6750"/>
      <c r="BA5" s="6750"/>
      <c r="BB5" s="6750"/>
      <c r="BC5" s="6750"/>
      <c r="BD5" s="6750"/>
      <c r="BE5" s="6750"/>
      <c r="BF5" s="6750"/>
      <c r="BG5" s="6751"/>
      <c r="BH5" s="6749"/>
      <c r="BI5" s="6750"/>
      <c r="BJ5" s="6750"/>
      <c r="BK5" s="6750"/>
      <c r="BL5" s="6750"/>
      <c r="BM5" s="6750"/>
      <c r="BN5" s="6750"/>
      <c r="BO5" s="6750"/>
      <c r="BP5" s="6751"/>
      <c r="BQ5" s="6749"/>
      <c r="BR5" s="6750"/>
      <c r="BS5" s="6750"/>
      <c r="BT5" s="6750"/>
      <c r="BU5" s="6750"/>
      <c r="BV5" s="6750"/>
      <c r="BW5" s="6750"/>
      <c r="BX5" s="6750"/>
      <c r="BY5" s="6751"/>
      <c r="BZ5" s="6749"/>
      <c r="CA5" s="6750"/>
      <c r="CB5" s="6750"/>
      <c r="CC5" s="6750"/>
      <c r="CD5" s="6750"/>
      <c r="CE5" s="6750"/>
      <c r="CF5" s="6750"/>
      <c r="CG5" s="6750"/>
      <c r="CH5" s="6751"/>
      <c r="CI5" s="6751"/>
      <c r="CJ5" s="1177" t="s">
        <v>522</v>
      </c>
      <c r="CL5" s="426"/>
      <c r="CM5" s="426" t="str">
        <f t="shared" si="0"/>
        <v xml:space="preserve">Источник тепловой энергии  </v>
      </c>
      <c r="CN5" s="426"/>
      <c r="CO5" s="426"/>
    </row>
    <row r="6" spans="1:93" ht="14.25" hidden="1" customHeight="1">
      <c r="A6" s="1186"/>
      <c r="B6" s="1186"/>
      <c r="C6" s="1186"/>
      <c r="D6" s="1186"/>
      <c r="E6" s="6794"/>
      <c r="F6" s="6794"/>
      <c r="G6" s="6794"/>
      <c r="H6" s="6794"/>
      <c r="I6" s="6629" t="e">
        <f>U5&amp;".1"</f>
        <v>#N/A</v>
      </c>
      <c r="J6" s="1186"/>
      <c r="K6" s="1186"/>
      <c r="L6" s="1186"/>
      <c r="M6" s="1228" t="s">
        <v>523</v>
      </c>
      <c r="N6" s="435"/>
      <c r="Q6" s="6762">
        <v>1</v>
      </c>
      <c r="R6" s="1248"/>
      <c r="S6" s="1248"/>
      <c r="T6" s="281"/>
      <c r="U6" s="949"/>
      <c r="V6" s="1299"/>
      <c r="W6" s="1300"/>
      <c r="X6" s="6790"/>
      <c r="Y6" s="6791"/>
      <c r="Z6" s="6791"/>
      <c r="AA6" s="6791"/>
      <c r="AB6" s="6791"/>
      <c r="AC6" s="6791"/>
      <c r="AD6" s="6791"/>
      <c r="AE6" s="6791"/>
      <c r="AF6" s="6792"/>
      <c r="AG6" s="6790"/>
      <c r="AH6" s="6791"/>
      <c r="AI6" s="6791"/>
      <c r="AJ6" s="6791"/>
      <c r="AK6" s="6791"/>
      <c r="AL6" s="6791"/>
      <c r="AM6" s="6791"/>
      <c r="AN6" s="6791"/>
      <c r="AO6" s="6791"/>
      <c r="AP6" s="6790"/>
      <c r="AQ6" s="6791"/>
      <c r="AR6" s="6791"/>
      <c r="AS6" s="6791"/>
      <c r="AT6" s="6791"/>
      <c r="AU6" s="6791"/>
      <c r="AV6" s="6791"/>
      <c r="AW6" s="6791"/>
      <c r="AX6" s="6792"/>
      <c r="AY6" s="6790"/>
      <c r="AZ6" s="6791"/>
      <c r="BA6" s="6791"/>
      <c r="BB6" s="6791"/>
      <c r="BC6" s="6791"/>
      <c r="BD6" s="6791"/>
      <c r="BE6" s="6791"/>
      <c r="BF6" s="6791"/>
      <c r="BG6" s="6792"/>
      <c r="BH6" s="6790"/>
      <c r="BI6" s="6791"/>
      <c r="BJ6" s="6791"/>
      <c r="BK6" s="6791"/>
      <c r="BL6" s="6791"/>
      <c r="BM6" s="6791"/>
      <c r="BN6" s="6791"/>
      <c r="BO6" s="6791"/>
      <c r="BP6" s="6792"/>
      <c r="BQ6" s="6790"/>
      <c r="BR6" s="6791"/>
      <c r="BS6" s="6791"/>
      <c r="BT6" s="6791"/>
      <c r="BU6" s="6791"/>
      <c r="BV6" s="6791"/>
      <c r="BW6" s="6791"/>
      <c r="BX6" s="6791"/>
      <c r="BY6" s="6792"/>
      <c r="BZ6" s="6790"/>
      <c r="CA6" s="6791"/>
      <c r="CB6" s="6791"/>
      <c r="CC6" s="6791"/>
      <c r="CD6" s="6791"/>
      <c r="CE6" s="6791"/>
      <c r="CF6" s="6791"/>
      <c r="CG6" s="6791"/>
      <c r="CH6" s="6792"/>
      <c r="CI6" s="6792"/>
      <c r="CJ6" s="1301"/>
      <c r="CL6" s="426"/>
      <c r="CM6" s="426" t="str">
        <f t="shared" si="0"/>
        <v/>
      </c>
      <c r="CN6" s="426"/>
      <c r="CO6" s="426"/>
    </row>
    <row r="7" spans="1:93" ht="21" hidden="1" customHeight="1">
      <c r="A7" s="1186"/>
      <c r="B7" s="1186"/>
      <c r="C7" s="1186"/>
      <c r="D7" s="1186"/>
      <c r="E7" s="6794"/>
      <c r="F7" s="6794"/>
      <c r="G7" s="6794"/>
      <c r="H7" s="6794"/>
      <c r="I7" s="6600"/>
      <c r="J7" s="6629" t="e">
        <f>I6&amp;".1"</f>
        <v>#N/A</v>
      </c>
      <c r="K7" s="1186"/>
      <c r="L7" s="1186"/>
      <c r="M7" s="1228" t="s">
        <v>526</v>
      </c>
      <c r="N7" s="435"/>
      <c r="O7" s="254"/>
      <c r="Q7" s="6762"/>
      <c r="R7" s="6762">
        <v>1</v>
      </c>
      <c r="S7" s="444"/>
      <c r="T7" s="282"/>
      <c r="U7" s="1253" t="e">
        <f>$J7</f>
        <v>#N/A</v>
      </c>
      <c r="V7" s="205" t="s">
        <v>527</v>
      </c>
      <c r="W7" s="219"/>
      <c r="X7" s="6752"/>
      <c r="Y7" s="6753"/>
      <c r="Z7" s="6753"/>
      <c r="AA7" s="6753"/>
      <c r="AB7" s="6753"/>
      <c r="AC7" s="6745"/>
      <c r="AD7" s="6745"/>
      <c r="AE7" s="6745"/>
      <c r="AF7" s="6795"/>
      <c r="AG7" s="6752"/>
      <c r="AH7" s="6753"/>
      <c r="AI7" s="6753"/>
      <c r="AJ7" s="6753"/>
      <c r="AK7" s="6753"/>
      <c r="AL7" s="6753"/>
      <c r="AM7" s="6753"/>
      <c r="AN7" s="6753"/>
      <c r="AO7" s="6753"/>
      <c r="AP7" s="6752"/>
      <c r="AQ7" s="6753"/>
      <c r="AR7" s="6753"/>
      <c r="AS7" s="6753"/>
      <c r="AT7" s="6753"/>
      <c r="AU7" s="6745"/>
      <c r="AV7" s="6745"/>
      <c r="AW7" s="6745"/>
      <c r="AX7" s="6795"/>
      <c r="AY7" s="6752"/>
      <c r="AZ7" s="6753"/>
      <c r="BA7" s="6753"/>
      <c r="BB7" s="6753"/>
      <c r="BC7" s="6753"/>
      <c r="BD7" s="6745"/>
      <c r="BE7" s="6745"/>
      <c r="BF7" s="6745"/>
      <c r="BG7" s="6795"/>
      <c r="BH7" s="6752"/>
      <c r="BI7" s="6753"/>
      <c r="BJ7" s="6753"/>
      <c r="BK7" s="6753"/>
      <c r="BL7" s="6753"/>
      <c r="BM7" s="6745"/>
      <c r="BN7" s="6745"/>
      <c r="BO7" s="6745"/>
      <c r="BP7" s="6795"/>
      <c r="BQ7" s="6752"/>
      <c r="BR7" s="6753"/>
      <c r="BS7" s="6753"/>
      <c r="BT7" s="6753"/>
      <c r="BU7" s="6753"/>
      <c r="BV7" s="6745"/>
      <c r="BW7" s="6745"/>
      <c r="BX7" s="6745"/>
      <c r="BY7" s="6795"/>
      <c r="BZ7" s="6752"/>
      <c r="CA7" s="6753"/>
      <c r="CB7" s="6753"/>
      <c r="CC7" s="6753"/>
      <c r="CD7" s="6753"/>
      <c r="CE7" s="6745"/>
      <c r="CF7" s="6745"/>
      <c r="CG7" s="6745"/>
      <c r="CH7" s="6795"/>
      <c r="CI7" s="6754"/>
      <c r="CJ7" s="1177" t="s">
        <v>528</v>
      </c>
      <c r="CL7" s="426"/>
      <c r="CM7" s="426" t="str">
        <f t="shared" si="0"/>
        <v>Группа потребителей</v>
      </c>
      <c r="CN7" s="426"/>
      <c r="CO7" s="426"/>
    </row>
    <row r="8" spans="1:93" ht="21" hidden="1" customHeight="1">
      <c r="A8" s="1186"/>
      <c r="B8" s="1186"/>
      <c r="C8" s="1186"/>
      <c r="D8" s="1186"/>
      <c r="E8" s="6794"/>
      <c r="F8" s="6794"/>
      <c r="G8" s="6794"/>
      <c r="H8" s="6794"/>
      <c r="I8" s="6600"/>
      <c r="J8" s="6600"/>
      <c r="K8" s="6629" t="e">
        <f>J7&amp;".1"</f>
        <v>#N/A</v>
      </c>
      <c r="L8" s="65"/>
      <c r="M8" s="1228" t="s">
        <v>529</v>
      </c>
      <c r="N8" s="435"/>
      <c r="O8" s="254"/>
      <c r="P8" s="254"/>
      <c r="Q8" s="6762"/>
      <c r="R8" s="6762"/>
      <c r="S8" s="6762">
        <v>1</v>
      </c>
      <c r="T8" s="282"/>
      <c r="U8" s="1253" t="e">
        <f>$K8</f>
        <v>#N/A</v>
      </c>
      <c r="V8" s="1264"/>
      <c r="W8" s="219"/>
      <c r="X8" s="668"/>
      <c r="Y8" s="668"/>
      <c r="Z8" s="668"/>
      <c r="AA8" s="668"/>
      <c r="AB8" s="1320"/>
      <c r="AC8" s="6766"/>
      <c r="AD8" s="6610" t="s">
        <v>61</v>
      </c>
      <c r="AE8" s="6766"/>
      <c r="AF8" s="6610" t="s">
        <v>61</v>
      </c>
      <c r="AG8" s="1322"/>
      <c r="AH8" s="668"/>
      <c r="AI8" s="668"/>
      <c r="AJ8" s="668"/>
      <c r="AK8" s="1176"/>
      <c r="AL8" s="6766"/>
      <c r="AM8" s="6610" t="s">
        <v>61</v>
      </c>
      <c r="AN8" s="6766"/>
      <c r="AO8" s="6610" t="s">
        <v>61</v>
      </c>
      <c r="AP8" s="2078"/>
      <c r="AQ8" s="2078"/>
      <c r="AR8" s="2078"/>
      <c r="AS8" s="2078"/>
      <c r="AT8" s="5656"/>
      <c r="AU8" s="6766"/>
      <c r="AV8" s="6610" t="s">
        <v>61</v>
      </c>
      <c r="AW8" s="6766"/>
      <c r="AX8" s="6610" t="s">
        <v>61</v>
      </c>
      <c r="AY8" s="2078"/>
      <c r="AZ8" s="2078"/>
      <c r="BA8" s="2078"/>
      <c r="BB8" s="2078"/>
      <c r="BC8" s="5656"/>
      <c r="BD8" s="6766"/>
      <c r="BE8" s="6610" t="s">
        <v>61</v>
      </c>
      <c r="BF8" s="6766"/>
      <c r="BG8" s="6610" t="s">
        <v>61</v>
      </c>
      <c r="BH8" s="2078"/>
      <c r="BI8" s="2078"/>
      <c r="BJ8" s="2078"/>
      <c r="BK8" s="2078"/>
      <c r="BL8" s="5656"/>
      <c r="BM8" s="6766"/>
      <c r="BN8" s="6610" t="s">
        <v>61</v>
      </c>
      <c r="BO8" s="6766"/>
      <c r="BP8" s="6610" t="s">
        <v>61</v>
      </c>
      <c r="BQ8" s="2078"/>
      <c r="BR8" s="2078"/>
      <c r="BS8" s="2078"/>
      <c r="BT8" s="2078"/>
      <c r="BU8" s="5656"/>
      <c r="BV8" s="6766"/>
      <c r="BW8" s="6610" t="s">
        <v>61</v>
      </c>
      <c r="BX8" s="6766"/>
      <c r="BY8" s="6610" t="s">
        <v>61</v>
      </c>
      <c r="BZ8" s="2078"/>
      <c r="CA8" s="2078"/>
      <c r="CB8" s="2078"/>
      <c r="CC8" s="2078"/>
      <c r="CD8" s="5656"/>
      <c r="CE8" s="6766"/>
      <c r="CF8" s="6610" t="s">
        <v>61</v>
      </c>
      <c r="CG8" s="6766"/>
      <c r="CH8" s="6610" t="s">
        <v>61</v>
      </c>
      <c r="CI8" s="251"/>
      <c r="CJ8" s="1226" t="s">
        <v>570</v>
      </c>
      <c r="CK8" s="437" t="e">
        <f ca="1">STRCHECKDATE(X10:CI10)</f>
        <v>#NAME?</v>
      </c>
      <c r="CL8" s="426"/>
      <c r="CM8" s="426" t="str">
        <f t="shared" si="0"/>
        <v/>
      </c>
      <c r="CN8" s="426"/>
      <c r="CO8" s="426"/>
    </row>
    <row r="9" spans="1:93" ht="21" hidden="1" customHeight="1">
      <c r="A9" s="1186"/>
      <c r="B9" s="1186"/>
      <c r="C9" s="1186"/>
      <c r="D9" s="1186"/>
      <c r="E9" s="6794"/>
      <c r="F9" s="6794"/>
      <c r="G9" s="6794"/>
      <c r="H9" s="6794"/>
      <c r="I9" s="6600"/>
      <c r="J9" s="6600"/>
      <c r="K9" s="6600"/>
      <c r="L9" s="6629" t="e">
        <f>K8&amp;".1"</f>
        <v>#N/A</v>
      </c>
      <c r="M9" s="1228"/>
      <c r="N9" s="435"/>
      <c r="O9" s="254"/>
      <c r="P9" s="254"/>
      <c r="Q9" s="6762"/>
      <c r="R9" s="6762"/>
      <c r="S9" s="6762"/>
      <c r="T9" s="282"/>
      <c r="U9" s="1253" t="e">
        <f>$L9</f>
        <v>#N/A</v>
      </c>
      <c r="V9" s="1307"/>
      <c r="W9" s="219"/>
      <c r="X9" s="251"/>
      <c r="Y9" s="668"/>
      <c r="Z9" s="668"/>
      <c r="AA9" s="668"/>
      <c r="AB9" s="1320"/>
      <c r="AC9" s="6767"/>
      <c r="AD9" s="6610"/>
      <c r="AE9" s="6767"/>
      <c r="AF9" s="6610"/>
      <c r="AG9" s="1322"/>
      <c r="AH9" s="668"/>
      <c r="AI9" s="668"/>
      <c r="AJ9" s="668"/>
      <c r="AK9" s="1176"/>
      <c r="AL9" s="6767"/>
      <c r="AM9" s="6610"/>
      <c r="AN9" s="6767"/>
      <c r="AO9" s="6610"/>
      <c r="AP9" s="2079"/>
      <c r="AQ9" s="2078"/>
      <c r="AR9" s="2078"/>
      <c r="AS9" s="2078"/>
      <c r="AT9" s="5656"/>
      <c r="AU9" s="6767"/>
      <c r="AV9" s="6610"/>
      <c r="AW9" s="6767"/>
      <c r="AX9" s="6610"/>
      <c r="AY9" s="2079"/>
      <c r="AZ9" s="2078"/>
      <c r="BA9" s="2078"/>
      <c r="BB9" s="2078"/>
      <c r="BC9" s="5656"/>
      <c r="BD9" s="6767"/>
      <c r="BE9" s="6610"/>
      <c r="BF9" s="6767"/>
      <c r="BG9" s="6610"/>
      <c r="BH9" s="2079"/>
      <c r="BI9" s="2078"/>
      <c r="BJ9" s="2078"/>
      <c r="BK9" s="2078"/>
      <c r="BL9" s="5656"/>
      <c r="BM9" s="6767"/>
      <c r="BN9" s="6610"/>
      <c r="BO9" s="6767"/>
      <c r="BP9" s="6610"/>
      <c r="BQ9" s="2079"/>
      <c r="BR9" s="2078"/>
      <c r="BS9" s="2078"/>
      <c r="BT9" s="2078"/>
      <c r="BU9" s="5656"/>
      <c r="BV9" s="6767"/>
      <c r="BW9" s="6610"/>
      <c r="BX9" s="6767"/>
      <c r="BY9" s="6610"/>
      <c r="BZ9" s="2079"/>
      <c r="CA9" s="2078"/>
      <c r="CB9" s="2078"/>
      <c r="CC9" s="2078"/>
      <c r="CD9" s="5656"/>
      <c r="CE9" s="6767"/>
      <c r="CF9" s="6610"/>
      <c r="CG9" s="6767"/>
      <c r="CH9" s="6610"/>
      <c r="CI9" s="251"/>
      <c r="CJ9" s="6758" t="s">
        <v>571</v>
      </c>
      <c r="CL9" s="426"/>
      <c r="CM9" s="426"/>
      <c r="CN9" s="426"/>
      <c r="CO9" s="426"/>
    </row>
    <row r="10" spans="1:93" ht="14.25" hidden="1" customHeight="1">
      <c r="A10" s="1186"/>
      <c r="B10" s="1186"/>
      <c r="C10" s="1186"/>
      <c r="D10" s="1186"/>
      <c r="E10" s="6794"/>
      <c r="F10" s="6794"/>
      <c r="G10" s="6794"/>
      <c r="H10" s="6794"/>
      <c r="I10" s="6600"/>
      <c r="J10" s="6600"/>
      <c r="K10" s="6600"/>
      <c r="L10" s="6629"/>
      <c r="M10" s="1228"/>
      <c r="N10" s="435"/>
      <c r="O10" s="254"/>
      <c r="P10" s="254"/>
      <c r="Q10" s="6762"/>
      <c r="R10" s="6762"/>
      <c r="S10" s="6762"/>
      <c r="T10" s="282"/>
      <c r="U10" s="1259"/>
      <c r="V10" s="219"/>
      <c r="W10" s="219"/>
      <c r="X10" s="251"/>
      <c r="Y10" s="251"/>
      <c r="Z10" s="251"/>
      <c r="AA10" s="251"/>
      <c r="AB10" s="1321" t="str">
        <f>AC8&amp;"-"&amp;AE8</f>
        <v>-</v>
      </c>
      <c r="AC10" s="6767"/>
      <c r="AD10" s="6610"/>
      <c r="AE10" s="6767"/>
      <c r="AF10" s="6610"/>
      <c r="AG10" s="1298"/>
      <c r="AH10" s="251"/>
      <c r="AI10" s="251"/>
      <c r="AJ10" s="251"/>
      <c r="AK10" s="255" t="str">
        <f>AL8&amp;"-"&amp;AN8</f>
        <v>-</v>
      </c>
      <c r="AL10" s="6767"/>
      <c r="AM10" s="6610"/>
      <c r="AN10" s="6767"/>
      <c r="AO10" s="6610"/>
      <c r="AP10" s="2079"/>
      <c r="AQ10" s="2079"/>
      <c r="AR10" s="2079"/>
      <c r="AS10" s="2079"/>
      <c r="AT10" s="5657" t="str">
        <f>AU8&amp;"-"&amp;AW8</f>
        <v>-</v>
      </c>
      <c r="AU10" s="6767"/>
      <c r="AV10" s="6610"/>
      <c r="AW10" s="6767"/>
      <c r="AX10" s="6610"/>
      <c r="AY10" s="2079"/>
      <c r="AZ10" s="2079"/>
      <c r="BA10" s="2079"/>
      <c r="BB10" s="2079"/>
      <c r="BC10" s="5657" t="str">
        <f>BD8&amp;"-"&amp;BF8</f>
        <v>-</v>
      </c>
      <c r="BD10" s="6767"/>
      <c r="BE10" s="6610"/>
      <c r="BF10" s="6767"/>
      <c r="BG10" s="6610"/>
      <c r="BH10" s="2079"/>
      <c r="BI10" s="2079"/>
      <c r="BJ10" s="2079"/>
      <c r="BK10" s="2079"/>
      <c r="BL10" s="5657" t="str">
        <f>BM8&amp;"-"&amp;BO8</f>
        <v>-</v>
      </c>
      <c r="BM10" s="6767"/>
      <c r="BN10" s="6610"/>
      <c r="BO10" s="6767"/>
      <c r="BP10" s="6610"/>
      <c r="BQ10" s="2079"/>
      <c r="BR10" s="2079"/>
      <c r="BS10" s="2079"/>
      <c r="BT10" s="2079"/>
      <c r="BU10" s="5657" t="str">
        <f>BV8&amp;"-"&amp;BX8</f>
        <v>-</v>
      </c>
      <c r="BV10" s="6767"/>
      <c r="BW10" s="6610"/>
      <c r="BX10" s="6767"/>
      <c r="BY10" s="6610"/>
      <c r="BZ10" s="2079"/>
      <c r="CA10" s="2079"/>
      <c r="CB10" s="2079"/>
      <c r="CC10" s="2079"/>
      <c r="CD10" s="5657" t="str">
        <f>CE8&amp;"-"&amp;CG8</f>
        <v>-</v>
      </c>
      <c r="CE10" s="6767"/>
      <c r="CF10" s="6610"/>
      <c r="CG10" s="6767"/>
      <c r="CH10" s="6610"/>
      <c r="CI10" s="251"/>
      <c r="CJ10" s="6759"/>
      <c r="CL10" s="426"/>
      <c r="CM10" s="426" t="str">
        <f>IF(V10="","",V10)</f>
        <v/>
      </c>
      <c r="CN10" s="426"/>
      <c r="CO10" s="426"/>
    </row>
    <row r="11" spans="1:93" ht="11.25" hidden="1" customHeight="1">
      <c r="A11" s="1186"/>
      <c r="B11" s="1186"/>
      <c r="C11" s="1186"/>
      <c r="D11" s="1186"/>
      <c r="E11" s="6794"/>
      <c r="F11" s="6794"/>
      <c r="G11" s="6794"/>
      <c r="H11" s="6794"/>
      <c r="I11" s="6600"/>
      <c r="J11" s="6600"/>
      <c r="K11" s="6629"/>
      <c r="L11" s="1186"/>
      <c r="M11" s="1228"/>
      <c r="N11" s="435"/>
      <c r="O11" s="254"/>
      <c r="P11" s="254"/>
      <c r="Q11" s="6762"/>
      <c r="R11" s="6762"/>
      <c r="S11" s="6762"/>
      <c r="T11" s="282"/>
      <c r="U11" s="1198"/>
      <c r="V11" s="207" t="s">
        <v>572</v>
      </c>
      <c r="W11" s="1308"/>
      <c r="X11" s="1309"/>
      <c r="Y11" s="1309"/>
      <c r="Z11" s="1309"/>
      <c r="AA11" s="1309"/>
      <c r="AB11" s="1310"/>
      <c r="AC11" s="6767"/>
      <c r="AD11" s="6610"/>
      <c r="AE11" s="6767"/>
      <c r="AF11" s="6610"/>
      <c r="AG11" s="1309"/>
      <c r="AH11" s="1309"/>
      <c r="AI11" s="1309"/>
      <c r="AJ11" s="1309"/>
      <c r="AK11" s="1310"/>
      <c r="AL11" s="6767"/>
      <c r="AM11" s="6610"/>
      <c r="AN11" s="6767"/>
      <c r="AO11" s="6610"/>
      <c r="AP11" s="5658"/>
      <c r="AQ11" s="5659"/>
      <c r="AR11" s="5660"/>
      <c r="AS11" s="5661"/>
      <c r="AT11" s="5662"/>
      <c r="AU11" s="6767"/>
      <c r="AV11" s="6610"/>
      <c r="AW11" s="6767"/>
      <c r="AX11" s="6610"/>
      <c r="AY11" s="5663"/>
      <c r="AZ11" s="5664"/>
      <c r="BA11" s="5665"/>
      <c r="BB11" s="5666"/>
      <c r="BC11" s="5667"/>
      <c r="BD11" s="6767"/>
      <c r="BE11" s="6610"/>
      <c r="BF11" s="6767"/>
      <c r="BG11" s="6610"/>
      <c r="BH11" s="5668"/>
      <c r="BI11" s="5669"/>
      <c r="BJ11" s="5670"/>
      <c r="BK11" s="5671"/>
      <c r="BL11" s="5672"/>
      <c r="BM11" s="6767"/>
      <c r="BN11" s="6610"/>
      <c r="BO11" s="6767"/>
      <c r="BP11" s="6610"/>
      <c r="BQ11" s="5673"/>
      <c r="BR11" s="5674"/>
      <c r="BS11" s="5675"/>
      <c r="BT11" s="5676"/>
      <c r="BU11" s="5677"/>
      <c r="BV11" s="6767"/>
      <c r="BW11" s="6610"/>
      <c r="BX11" s="6767"/>
      <c r="BY11" s="6610"/>
      <c r="BZ11" s="5678"/>
      <c r="CA11" s="5679"/>
      <c r="CB11" s="5680"/>
      <c r="CC11" s="5681"/>
      <c r="CD11" s="5682"/>
      <c r="CE11" s="6767"/>
      <c r="CF11" s="6610"/>
      <c r="CG11" s="6767"/>
      <c r="CH11" s="6610"/>
      <c r="CI11" s="1311"/>
      <c r="CJ11" s="6759"/>
      <c r="CL11" s="426"/>
      <c r="CM11" s="426"/>
      <c r="CN11" s="426"/>
      <c r="CO11" s="426"/>
    </row>
    <row r="12" spans="1:93" ht="15" hidden="1" customHeight="1">
      <c r="A12" s="1186"/>
      <c r="B12" s="1186"/>
      <c r="C12" s="1186"/>
      <c r="D12" s="1186"/>
      <c r="E12" s="6794"/>
      <c r="F12" s="6794"/>
      <c r="G12" s="6794"/>
      <c r="H12" s="6794"/>
      <c r="I12" s="6600"/>
      <c r="J12" s="6629"/>
      <c r="K12" s="1186"/>
      <c r="L12" s="1186"/>
      <c r="M12" s="1228"/>
      <c r="N12" s="435"/>
      <c r="O12" s="254"/>
      <c r="Q12" s="6762"/>
      <c r="R12" s="6762"/>
      <c r="S12" s="1248"/>
      <c r="T12" s="281"/>
      <c r="U12" s="1198"/>
      <c r="V12" s="206" t="s">
        <v>531</v>
      </c>
      <c r="W12" s="295"/>
      <c r="X12" s="295"/>
      <c r="Y12" s="295"/>
      <c r="Z12" s="295"/>
      <c r="AA12" s="295"/>
      <c r="AB12" s="295"/>
      <c r="AC12" s="1323"/>
      <c r="AD12" s="1323"/>
      <c r="AE12" s="1323"/>
      <c r="AF12" s="1323"/>
      <c r="AG12" s="295"/>
      <c r="AH12" s="295"/>
      <c r="AI12" s="295"/>
      <c r="AJ12" s="295"/>
      <c r="AK12" s="295"/>
      <c r="AL12" s="295"/>
      <c r="AM12" s="295"/>
      <c r="AN12" s="295"/>
      <c r="AO12" s="295"/>
      <c r="AP12" s="5683"/>
      <c r="AQ12" s="5684"/>
      <c r="AR12" s="5685"/>
      <c r="AS12" s="5686"/>
      <c r="AT12" s="5687"/>
      <c r="AU12" s="5688"/>
      <c r="AV12" s="5689"/>
      <c r="AW12" s="5690"/>
      <c r="AX12" s="5691"/>
      <c r="AY12" s="5692"/>
      <c r="AZ12" s="5693"/>
      <c r="BA12" s="5694"/>
      <c r="BB12" s="5695"/>
      <c r="BC12" s="5696"/>
      <c r="BD12" s="5697"/>
      <c r="BE12" s="5698"/>
      <c r="BF12" s="5699"/>
      <c r="BG12" s="5700"/>
      <c r="BH12" s="5701"/>
      <c r="BI12" s="5702"/>
      <c r="BJ12" s="5703"/>
      <c r="BK12" s="5704"/>
      <c r="BL12" s="5705"/>
      <c r="BM12" s="5706"/>
      <c r="BN12" s="5707"/>
      <c r="BO12" s="5708"/>
      <c r="BP12" s="5709"/>
      <c r="BQ12" s="5710"/>
      <c r="BR12" s="5711"/>
      <c r="BS12" s="5712"/>
      <c r="BT12" s="5713"/>
      <c r="BU12" s="5714"/>
      <c r="BV12" s="5715"/>
      <c r="BW12" s="5716"/>
      <c r="BX12" s="5717"/>
      <c r="BY12" s="5718"/>
      <c r="BZ12" s="5719"/>
      <c r="CA12" s="5720"/>
      <c r="CB12" s="5721"/>
      <c r="CC12" s="5722"/>
      <c r="CD12" s="5723"/>
      <c r="CE12" s="5724"/>
      <c r="CF12" s="5725"/>
      <c r="CG12" s="5726"/>
      <c r="CH12" s="5727"/>
      <c r="CI12" s="250"/>
      <c r="CJ12" s="6760"/>
      <c r="CL12" s="426"/>
      <c r="CM12" s="426" t="str">
        <f t="shared" ref="CM12:CM17" si="1">IF(V12="","",V12)</f>
        <v>Добавить вид теплоносителя (параметры теплоносителя)</v>
      </c>
      <c r="CN12" s="426"/>
      <c r="CO12" s="426"/>
    </row>
    <row r="13" spans="1:93" ht="11.25" hidden="1" customHeight="1">
      <c r="A13" s="1186"/>
      <c r="B13" s="1186"/>
      <c r="C13" s="1186"/>
      <c r="D13" s="1186"/>
      <c r="E13" s="6794"/>
      <c r="F13" s="6794"/>
      <c r="G13" s="6794"/>
      <c r="H13" s="6794"/>
      <c r="I13" s="6629"/>
      <c r="J13" s="1186"/>
      <c r="K13" s="1186"/>
      <c r="L13" s="1186"/>
      <c r="M13" s="1228"/>
      <c r="N13" s="435"/>
      <c r="Q13" s="6762"/>
      <c r="R13" s="1248"/>
      <c r="S13" s="1248"/>
      <c r="T13" s="281"/>
      <c r="U13" s="1198"/>
      <c r="V13" s="292" t="s">
        <v>532</v>
      </c>
      <c r="W13" s="295"/>
      <c r="X13" s="295"/>
      <c r="Y13" s="295"/>
      <c r="Z13" s="295"/>
      <c r="AA13" s="295"/>
      <c r="AB13" s="295"/>
      <c r="AC13" s="295"/>
      <c r="AD13" s="295"/>
      <c r="AE13" s="295"/>
      <c r="AF13" s="294"/>
      <c r="AG13" s="295"/>
      <c r="AH13" s="295"/>
      <c r="AI13" s="295"/>
      <c r="AJ13" s="295"/>
      <c r="AK13" s="295"/>
      <c r="AL13" s="295"/>
      <c r="AM13" s="295"/>
      <c r="AN13" s="295"/>
      <c r="AO13" s="294"/>
      <c r="AP13" s="5728"/>
      <c r="AQ13" s="5729"/>
      <c r="AR13" s="5730"/>
      <c r="AS13" s="5731"/>
      <c r="AT13" s="5732"/>
      <c r="AU13" s="5733"/>
      <c r="AV13" s="5734"/>
      <c r="AW13" s="5735"/>
      <c r="AX13" s="5736"/>
      <c r="AY13" s="5737"/>
      <c r="AZ13" s="5738"/>
      <c r="BA13" s="5739"/>
      <c r="BB13" s="5740"/>
      <c r="BC13" s="5741"/>
      <c r="BD13" s="5742"/>
      <c r="BE13" s="5743"/>
      <c r="BF13" s="5744"/>
      <c r="BG13" s="5745"/>
      <c r="BH13" s="5746"/>
      <c r="BI13" s="5747"/>
      <c r="BJ13" s="5748"/>
      <c r="BK13" s="5749"/>
      <c r="BL13" s="5750"/>
      <c r="BM13" s="5751"/>
      <c r="BN13" s="5752"/>
      <c r="BO13" s="5753"/>
      <c r="BP13" s="5754"/>
      <c r="BQ13" s="5755"/>
      <c r="BR13" s="5756"/>
      <c r="BS13" s="5757"/>
      <c r="BT13" s="5758"/>
      <c r="BU13" s="5759"/>
      <c r="BV13" s="5760"/>
      <c r="BW13" s="5761"/>
      <c r="BX13" s="5762"/>
      <c r="BY13" s="5763"/>
      <c r="BZ13" s="5764"/>
      <c r="CA13" s="5765"/>
      <c r="CB13" s="5766"/>
      <c r="CC13" s="5767"/>
      <c r="CD13" s="5768"/>
      <c r="CE13" s="5769"/>
      <c r="CF13" s="5770"/>
      <c r="CG13" s="5771"/>
      <c r="CH13" s="5772"/>
      <c r="CI13" s="295"/>
      <c r="CJ13" s="222"/>
      <c r="CL13" s="426"/>
      <c r="CM13" s="426" t="str">
        <f t="shared" si="1"/>
        <v>Добавить группу потребителей</v>
      </c>
      <c r="CN13" s="426"/>
      <c r="CO13" s="426"/>
    </row>
    <row r="14" spans="1:93" ht="14.25" hidden="1" customHeight="1">
      <c r="A14" s="1186"/>
      <c r="B14" s="1186"/>
      <c r="C14" s="1186"/>
      <c r="D14" s="1186"/>
      <c r="E14" s="6794"/>
      <c r="F14" s="6794"/>
      <c r="G14" s="6794"/>
      <c r="H14" s="6793"/>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5168"/>
      <c r="AQ14" s="5168"/>
      <c r="AR14" s="5168"/>
      <c r="AS14" s="5168"/>
      <c r="AT14" s="5168"/>
      <c r="AU14" s="5168"/>
      <c r="AV14" s="5168"/>
      <c r="AW14" s="5168"/>
      <c r="AX14" s="5168"/>
      <c r="AY14" s="5168"/>
      <c r="AZ14" s="5168"/>
      <c r="BA14" s="5168"/>
      <c r="BB14" s="5168"/>
      <c r="BC14" s="5168"/>
      <c r="BD14" s="5168"/>
      <c r="BE14" s="5168"/>
      <c r="BF14" s="5168"/>
      <c r="BG14" s="5168"/>
      <c r="BH14" s="5168"/>
      <c r="BI14" s="5168"/>
      <c r="BJ14" s="5168"/>
      <c r="BK14" s="5168"/>
      <c r="BL14" s="5168"/>
      <c r="BM14" s="5168"/>
      <c r="BN14" s="5168"/>
      <c r="BO14" s="5168"/>
      <c r="BP14" s="5168"/>
      <c r="BQ14" s="5168"/>
      <c r="BR14" s="5168"/>
      <c r="BS14" s="5168"/>
      <c r="BT14" s="5168"/>
      <c r="BU14" s="5168"/>
      <c r="BV14" s="5168"/>
      <c r="BW14" s="5168"/>
      <c r="BX14" s="5168"/>
      <c r="BY14" s="5168"/>
      <c r="BZ14" s="5168"/>
      <c r="CA14" s="5168"/>
      <c r="CB14" s="5168"/>
      <c r="CC14" s="5168"/>
      <c r="CD14" s="5168"/>
      <c r="CE14" s="5168"/>
      <c r="CF14" s="5168"/>
      <c r="CG14" s="5168"/>
      <c r="CH14" s="5168"/>
      <c r="CI14" s="1304"/>
      <c r="CJ14" s="1305"/>
      <c r="CL14" s="426"/>
      <c r="CM14" s="426" t="str">
        <f t="shared" si="1"/>
        <v/>
      </c>
      <c r="CN14" s="426"/>
      <c r="CO14" s="426"/>
    </row>
    <row r="15" spans="1:93" s="2067" customFormat="1" ht="14.25" hidden="1" customHeight="1">
      <c r="A15" s="1290"/>
      <c r="B15" s="1290"/>
      <c r="C15" s="1290"/>
      <c r="D15" s="1290"/>
      <c r="E15" s="6794"/>
      <c r="F15" s="6794"/>
      <c r="G15" s="6793"/>
      <c r="H15" s="1290"/>
      <c r="I15" s="1290"/>
      <c r="J15" s="1290"/>
      <c r="K15" s="1290"/>
      <c r="L15" s="1290"/>
      <c r="M15" s="1293"/>
      <c r="N15" s="1294"/>
      <c r="O15" s="1294"/>
      <c r="P15" s="276"/>
      <c r="Q15" s="1234"/>
      <c r="R15" s="1235"/>
      <c r="S15" s="1234"/>
      <c r="T15" s="1234"/>
      <c r="U15" s="1236"/>
      <c r="V15" s="1237" t="s">
        <v>228</v>
      </c>
      <c r="W15" s="1238"/>
      <c r="X15" s="1238"/>
      <c r="Y15" s="1238"/>
      <c r="Z15" s="1238"/>
      <c r="AA15" s="1238"/>
      <c r="AB15" s="1238"/>
      <c r="AC15" s="1238"/>
      <c r="AD15" s="1238"/>
      <c r="AE15" s="1238"/>
      <c r="AF15" s="1238"/>
      <c r="AG15" s="1238"/>
      <c r="AH15" s="1238"/>
      <c r="AI15" s="1238"/>
      <c r="AJ15" s="1238"/>
      <c r="AK15" s="1238"/>
      <c r="AL15" s="1238"/>
      <c r="AM15" s="1238"/>
      <c r="AN15" s="1238"/>
      <c r="AO15" s="1238"/>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1238"/>
      <c r="CJ15" s="1238"/>
      <c r="CL15" s="706"/>
      <c r="CM15" s="706" t="str">
        <f t="shared" si="1"/>
        <v>Добавить источник для дифференциации</v>
      </c>
      <c r="CN15" s="706"/>
      <c r="CO15" s="706"/>
    </row>
    <row r="16" spans="1:93" s="2067" customFormat="1" ht="14.25" hidden="1" customHeight="1">
      <c r="A16" s="1290"/>
      <c r="B16" s="1290"/>
      <c r="C16" s="1290"/>
      <c r="D16" s="1290"/>
      <c r="E16" s="6794"/>
      <c r="F16" s="6793"/>
      <c r="G16" s="1290"/>
      <c r="H16" s="1290"/>
      <c r="I16" s="1290"/>
      <c r="J16" s="1290"/>
      <c r="K16" s="1290"/>
      <c r="L16" s="1290"/>
      <c r="M16" s="1293"/>
      <c r="N16" s="1295"/>
      <c r="O16" s="1295"/>
      <c r="P16" s="276"/>
      <c r="Q16" s="1234"/>
      <c r="R16" s="1235"/>
      <c r="S16" s="1234"/>
      <c r="T16" s="1234"/>
      <c r="U16" s="1240"/>
      <c r="V16" s="1241" t="s">
        <v>229</v>
      </c>
      <c r="W16" s="1242"/>
      <c r="X16" s="1242"/>
      <c r="Y16" s="1242"/>
      <c r="Z16" s="1242"/>
      <c r="AA16" s="1242"/>
      <c r="AB16" s="1242"/>
      <c r="AC16" s="1242"/>
      <c r="AD16" s="1242"/>
      <c r="AE16" s="1242"/>
      <c r="AF16" s="1242"/>
      <c r="AG16" s="1242"/>
      <c r="AH16" s="1242"/>
      <c r="AI16" s="1242"/>
      <c r="AJ16" s="1242"/>
      <c r="AK16" s="1242"/>
      <c r="AL16" s="1242"/>
      <c r="AM16" s="1242"/>
      <c r="AN16" s="1242"/>
      <c r="AO16" s="1242"/>
      <c r="AP16" s="2204"/>
      <c r="AQ16" s="2204"/>
      <c r="AR16" s="2204"/>
      <c r="AS16" s="2204"/>
      <c r="AT16" s="2204"/>
      <c r="AU16" s="2204"/>
      <c r="AV16" s="2204"/>
      <c r="AW16" s="2204"/>
      <c r="AX16" s="2204"/>
      <c r="AY16" s="2204"/>
      <c r="AZ16" s="2204"/>
      <c r="BA16" s="2204"/>
      <c r="BB16" s="2204"/>
      <c r="BC16" s="2204"/>
      <c r="BD16" s="2204"/>
      <c r="BE16" s="2204"/>
      <c r="BF16" s="2204"/>
      <c r="BG16" s="2204"/>
      <c r="BH16" s="2204"/>
      <c r="BI16" s="2204"/>
      <c r="BJ16" s="2204"/>
      <c r="BK16" s="2204"/>
      <c r="BL16" s="2204"/>
      <c r="BM16" s="2204"/>
      <c r="BN16" s="2204"/>
      <c r="BO16" s="2204"/>
      <c r="BP16" s="2204"/>
      <c r="BQ16" s="2204"/>
      <c r="BR16" s="2204"/>
      <c r="BS16" s="2204"/>
      <c r="BT16" s="2204"/>
      <c r="BU16" s="2204"/>
      <c r="BV16" s="2204"/>
      <c r="BW16" s="2204"/>
      <c r="BX16" s="2204"/>
      <c r="BY16" s="2204"/>
      <c r="BZ16" s="2204"/>
      <c r="CA16" s="2204"/>
      <c r="CB16" s="2204"/>
      <c r="CC16" s="2204"/>
      <c r="CD16" s="2204"/>
      <c r="CE16" s="2204"/>
      <c r="CF16" s="2204"/>
      <c r="CG16" s="2204"/>
      <c r="CH16" s="2204"/>
      <c r="CI16" s="1242"/>
      <c r="CJ16" s="1242"/>
      <c r="CL16" s="706"/>
      <c r="CM16" s="706" t="str">
        <f t="shared" si="1"/>
        <v>Добавить централизованную систему для дифференциации</v>
      </c>
      <c r="CN16" s="706"/>
      <c r="CO16" s="706"/>
    </row>
    <row r="17" spans="1:93" s="2067" customFormat="1" ht="14.25" hidden="1" customHeight="1">
      <c r="A17" s="1290"/>
      <c r="B17" s="1290"/>
      <c r="C17" s="1290"/>
      <c r="D17" s="1290"/>
      <c r="E17" s="6793"/>
      <c r="F17" s="1290"/>
      <c r="G17" s="1290"/>
      <c r="H17" s="1290"/>
      <c r="I17" s="1290"/>
      <c r="J17" s="1290"/>
      <c r="K17" s="1290"/>
      <c r="L17" s="1290"/>
      <c r="M17" s="1293"/>
      <c r="N17" s="1295"/>
      <c r="O17" s="1295"/>
      <c r="P17" s="276"/>
      <c r="Q17" s="1234"/>
      <c r="R17" s="1235"/>
      <c r="S17" s="1234"/>
      <c r="T17" s="1234"/>
      <c r="U17" s="1240"/>
      <c r="V17" s="1243" t="s">
        <v>272</v>
      </c>
      <c r="W17" s="1242"/>
      <c r="X17" s="1242"/>
      <c r="Y17" s="1242"/>
      <c r="Z17" s="1242"/>
      <c r="AA17" s="1242"/>
      <c r="AB17" s="1242"/>
      <c r="AC17" s="1242"/>
      <c r="AD17" s="1242"/>
      <c r="AE17" s="1242"/>
      <c r="AF17" s="1242"/>
      <c r="AG17" s="1242"/>
      <c r="AH17" s="1242"/>
      <c r="AI17" s="1242"/>
      <c r="AJ17" s="1242"/>
      <c r="AK17" s="1242"/>
      <c r="AL17" s="1242"/>
      <c r="AM17" s="1242"/>
      <c r="AN17" s="1242"/>
      <c r="AO17" s="1242"/>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BV17" s="2204"/>
      <c r="BW17" s="2204"/>
      <c r="BX17" s="2204"/>
      <c r="BY17" s="2204"/>
      <c r="BZ17" s="2204"/>
      <c r="CA17" s="2204"/>
      <c r="CB17" s="2204"/>
      <c r="CC17" s="2204"/>
      <c r="CD17" s="2204"/>
      <c r="CE17" s="2204"/>
      <c r="CF17" s="2204"/>
      <c r="CG17" s="2204"/>
      <c r="CH17" s="2204"/>
      <c r="CI17" s="1242"/>
      <c r="CJ17" s="1242"/>
      <c r="CL17" s="706"/>
      <c r="CM17" s="706" t="str">
        <f t="shared" si="1"/>
        <v>Добавить территорию для дифференциации</v>
      </c>
      <c r="CN17" s="706"/>
      <c r="CO17" s="706"/>
    </row>
    <row r="18" spans="1:93" ht="14.25" hidden="1" customHeight="1">
      <c r="AF18" s="254"/>
      <c r="AO18" s="254"/>
      <c r="AP18" s="2077"/>
      <c r="AQ18" s="2077"/>
      <c r="AR18" s="2077"/>
      <c r="AS18" s="2077"/>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c r="BZ18" s="2077"/>
      <c r="CA18" s="2077"/>
      <c r="CB18" s="2077"/>
      <c r="CC18" s="2077"/>
      <c r="CD18" s="2077"/>
      <c r="CE18" s="2077"/>
      <c r="CF18" s="2077"/>
      <c r="CG18" s="2077"/>
      <c r="CH18" s="2077"/>
    </row>
    <row r="19" spans="1:93" ht="14.25" hidden="1" customHeight="1">
      <c r="AG19" s="1276"/>
      <c r="AH19" s="1276"/>
      <c r="AI19" s="1276"/>
      <c r="AJ19" s="1276"/>
      <c r="AK19" s="1277"/>
      <c r="AL19" s="6768"/>
      <c r="AM19" s="6769" t="s">
        <v>61</v>
      </c>
      <c r="AN19" s="6768"/>
      <c r="AO19" s="6769" t="s">
        <v>61</v>
      </c>
      <c r="AP19" s="2077"/>
      <c r="AQ19" s="2077"/>
      <c r="AR19" s="2077"/>
      <c r="AS19" s="207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7"/>
      <c r="BZ19" s="2077"/>
      <c r="CA19" s="2077"/>
      <c r="CB19" s="2077"/>
      <c r="CC19" s="2077"/>
      <c r="CD19" s="2077"/>
      <c r="CE19" s="2077"/>
      <c r="CF19" s="2077"/>
      <c r="CG19" s="2077"/>
      <c r="CH19" s="2077"/>
    </row>
    <row r="20" spans="1:93" ht="14.25" hidden="1" customHeight="1">
      <c r="AG20" s="1276"/>
      <c r="AH20" s="1276"/>
      <c r="AI20" s="1276"/>
      <c r="AJ20" s="1276"/>
      <c r="AK20" s="1277"/>
      <c r="AL20" s="6768"/>
      <c r="AM20" s="6769"/>
      <c r="AN20" s="6768"/>
      <c r="AO20" s="6769"/>
      <c r="AP20" s="2077"/>
      <c r="AQ20" s="2077"/>
      <c r="AR20" s="2077"/>
      <c r="AS20" s="2077"/>
      <c r="AT20" s="2077"/>
      <c r="AU20" s="2077"/>
      <c r="AV20" s="2077"/>
      <c r="AW20" s="2077"/>
      <c r="AX20" s="2077"/>
      <c r="AY20" s="2077"/>
      <c r="AZ20" s="2077"/>
      <c r="BA20" s="2077"/>
      <c r="BB20" s="2077"/>
      <c r="BC20" s="2077"/>
      <c r="BD20" s="2077"/>
      <c r="BE20" s="2077"/>
      <c r="BF20" s="2077"/>
      <c r="BG20" s="2077"/>
      <c r="BH20" s="2077"/>
      <c r="BI20" s="2077"/>
      <c r="BJ20" s="2077"/>
      <c r="BK20" s="2077"/>
      <c r="BL20" s="2077"/>
      <c r="BM20" s="2077"/>
      <c r="BN20" s="2077"/>
      <c r="BO20" s="2077"/>
      <c r="BP20" s="2077"/>
      <c r="BQ20" s="2077"/>
      <c r="BR20" s="2077"/>
      <c r="BS20" s="2077"/>
      <c r="BT20" s="2077"/>
      <c r="BU20" s="2077"/>
      <c r="BV20" s="2077"/>
      <c r="BW20" s="2077"/>
      <c r="BX20" s="2077"/>
      <c r="BY20" s="2077"/>
      <c r="BZ20" s="2077"/>
      <c r="CA20" s="2077"/>
      <c r="CB20" s="2077"/>
      <c r="CC20" s="2077"/>
      <c r="CD20" s="2077"/>
      <c r="CE20" s="2077"/>
      <c r="CF20" s="2077"/>
      <c r="CG20" s="2077"/>
      <c r="CH20" s="2077"/>
    </row>
    <row r="21" spans="1:93" ht="14.25" hidden="1" customHeight="1">
      <c r="AG21" s="1276"/>
      <c r="AH21" s="1276"/>
      <c r="AI21" s="1276"/>
      <c r="AJ21" s="1276"/>
      <c r="AK21" s="1277"/>
      <c r="AL21" s="6768"/>
      <c r="AM21" s="6769"/>
      <c r="AN21" s="6768"/>
      <c r="AO21" s="6769"/>
      <c r="AP21" s="2077"/>
      <c r="AQ21" s="2077"/>
      <c r="AR21" s="2077"/>
      <c r="AS21" s="2077"/>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7"/>
      <c r="BZ21" s="2077"/>
      <c r="CA21" s="2077"/>
      <c r="CB21" s="2077"/>
      <c r="CC21" s="2077"/>
      <c r="CD21" s="2077"/>
      <c r="CE21" s="2077"/>
      <c r="CF21" s="2077"/>
      <c r="CG21" s="2077"/>
      <c r="CH21" s="2077"/>
    </row>
    <row r="22" spans="1:93" ht="14.25" hidden="1" customHeight="1">
      <c r="AG22" s="1276"/>
      <c r="AH22" s="1276"/>
      <c r="AI22" s="1276"/>
      <c r="AJ22" s="1276"/>
      <c r="AK22" s="255" t="str">
        <f>AL19&amp;"-"&amp;AN19</f>
        <v>-</v>
      </c>
      <c r="AL22" s="6769"/>
      <c r="AM22" s="6769"/>
      <c r="AN22" s="6769"/>
      <c r="AO22" s="6769"/>
      <c r="AP22" s="2077"/>
      <c r="AQ22" s="2077"/>
      <c r="AR22" s="2077"/>
      <c r="AS22" s="2077"/>
      <c r="AT22" s="2077"/>
      <c r="AU22" s="2077"/>
      <c r="AV22" s="2077"/>
      <c r="AW22" s="2077"/>
      <c r="AX22" s="2077"/>
      <c r="AY22" s="2077"/>
      <c r="AZ22" s="2077"/>
      <c r="BA22" s="2077"/>
      <c r="BB22" s="2077"/>
      <c r="BC22" s="2077"/>
      <c r="BD22" s="2077"/>
      <c r="BE22" s="2077"/>
      <c r="BF22" s="2077"/>
      <c r="BG22" s="2077"/>
      <c r="BH22" s="2077"/>
      <c r="BI22" s="2077"/>
      <c r="BJ22" s="2077"/>
      <c r="BK22" s="2077"/>
      <c r="BL22" s="2077"/>
      <c r="BM22" s="2077"/>
      <c r="BN22" s="2077"/>
      <c r="BO22" s="2077"/>
      <c r="BP22" s="2077"/>
      <c r="BQ22" s="2077"/>
      <c r="BR22" s="2077"/>
      <c r="BS22" s="2077"/>
      <c r="BT22" s="2077"/>
      <c r="BU22" s="2077"/>
      <c r="BV22" s="2077"/>
      <c r="BW22" s="2077"/>
      <c r="BX22" s="2077"/>
      <c r="BY22" s="2077"/>
      <c r="BZ22" s="2077"/>
      <c r="CA22" s="2077"/>
      <c r="CB22" s="2077"/>
      <c r="CC22" s="2077"/>
      <c r="CD22" s="2077"/>
      <c r="CE22" s="2077"/>
      <c r="CF22" s="2077"/>
      <c r="CG22" s="2077"/>
      <c r="CH22" s="2077"/>
    </row>
    <row r="23" spans="1:93" ht="14.25" hidden="1" customHeight="1">
      <c r="AO23" s="254"/>
      <c r="AP23" s="2077"/>
      <c r="AQ23" s="2077"/>
      <c r="AR23" s="2077"/>
      <c r="AS23" s="207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c r="BZ23" s="2077"/>
      <c r="CA23" s="2077"/>
      <c r="CB23" s="2077"/>
      <c r="CC23" s="2077"/>
      <c r="CD23" s="2077"/>
      <c r="CE23" s="2077"/>
      <c r="CF23" s="2077"/>
      <c r="CG23" s="2077"/>
      <c r="CH23" s="2077"/>
    </row>
    <row r="24" spans="1:93" s="1830" customFormat="1" ht="22.5" hidden="1" customHeight="1">
      <c r="A24" s="1055"/>
      <c r="B24" s="1055"/>
      <c r="C24" s="1055"/>
      <c r="D24" s="1055"/>
      <c r="E24" s="1055"/>
      <c r="F24" s="1055"/>
      <c r="G24" s="1055"/>
      <c r="H24" s="1055"/>
      <c r="I24" s="1055"/>
      <c r="J24" s="1055"/>
      <c r="K24" s="1055"/>
      <c r="L24" s="1055"/>
      <c r="M24" s="1244"/>
      <c r="N24" s="1245"/>
      <c r="O24" s="1245"/>
      <c r="P24" s="1262" t="s">
        <v>534</v>
      </c>
      <c r="Q24" s="1278"/>
      <c r="R24" s="1287"/>
      <c r="S24" s="1287"/>
      <c r="T24" s="1287"/>
      <c r="U24" s="648"/>
      <c r="AC24" s="1283"/>
      <c r="AE24" s="1283"/>
      <c r="AF24" s="1282"/>
      <c r="AL24" s="1283"/>
      <c r="AN24" s="1283"/>
      <c r="AO24" s="1282"/>
      <c r="AP24" s="2205"/>
      <c r="AQ24" s="2205"/>
      <c r="AR24" s="2205"/>
      <c r="AS24" s="2205"/>
      <c r="AT24" s="2205"/>
      <c r="AU24" s="2206"/>
      <c r="AV24" s="2205"/>
      <c r="AW24" s="2206"/>
      <c r="AX24" s="2205"/>
      <c r="AY24" s="2205"/>
      <c r="AZ24" s="2205"/>
      <c r="BA24" s="2205"/>
      <c r="BB24" s="2205"/>
      <c r="BC24" s="2205"/>
      <c r="BD24" s="2206"/>
      <c r="BE24" s="2205"/>
      <c r="BF24" s="2206"/>
      <c r="BG24" s="2205"/>
      <c r="BH24" s="2205"/>
      <c r="BI24" s="2205"/>
      <c r="BJ24" s="2205"/>
      <c r="BK24" s="2205"/>
      <c r="BL24" s="2205"/>
      <c r="BM24" s="2206"/>
      <c r="BN24" s="2205"/>
      <c r="BO24" s="2206"/>
      <c r="BP24" s="2205"/>
      <c r="BQ24" s="2205"/>
      <c r="BR24" s="2205"/>
      <c r="BS24" s="2205"/>
      <c r="BT24" s="2205"/>
      <c r="BU24" s="2205"/>
      <c r="BV24" s="2206"/>
      <c r="BW24" s="2205"/>
      <c r="BX24" s="2206"/>
      <c r="BY24" s="2205"/>
      <c r="BZ24" s="2205"/>
      <c r="CA24" s="2205"/>
      <c r="CB24" s="2205"/>
      <c r="CC24" s="2205"/>
      <c r="CD24" s="2205"/>
      <c r="CE24" s="2206"/>
      <c r="CF24" s="2205"/>
      <c r="CG24" s="2206"/>
      <c r="CH24" s="2205"/>
      <c r="CK24" s="437"/>
      <c r="CL24" s="437"/>
      <c r="CM24" s="437"/>
      <c r="CN24" s="437"/>
      <c r="CO24" s="437"/>
    </row>
    <row r="25" spans="1:93" s="1830"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P25" s="2205"/>
      <c r="AQ25" s="2205"/>
      <c r="AR25" s="2205"/>
      <c r="AS25" s="2205"/>
      <c r="AT25" s="2205"/>
      <c r="AU25" s="2205"/>
      <c r="AV25" s="2205"/>
      <c r="AW25" s="2205"/>
      <c r="AX25" s="2205"/>
      <c r="AY25" s="2205"/>
      <c r="AZ25" s="2205"/>
      <c r="BA25" s="2205"/>
      <c r="BB25" s="2205"/>
      <c r="BC25" s="2205"/>
      <c r="BD25" s="2205"/>
      <c r="BE25" s="2205"/>
      <c r="BF25" s="2205"/>
      <c r="BG25" s="2205"/>
      <c r="BH25" s="2205"/>
      <c r="BI25" s="2205"/>
      <c r="BJ25" s="2205"/>
      <c r="BK25" s="2205"/>
      <c r="BL25" s="2205"/>
      <c r="BM25" s="2205"/>
      <c r="BN25" s="2205"/>
      <c r="BO25" s="2205"/>
      <c r="BP25" s="2205"/>
      <c r="BQ25" s="2205"/>
      <c r="BR25" s="2205"/>
      <c r="BS25" s="2205"/>
      <c r="BT25" s="2205"/>
      <c r="BU25" s="2205"/>
      <c r="BV25" s="2205"/>
      <c r="BW25" s="2205"/>
      <c r="BX25" s="2205"/>
      <c r="BY25" s="2205"/>
      <c r="BZ25" s="2205"/>
      <c r="CA25" s="2205"/>
      <c r="CB25" s="2205"/>
      <c r="CC25" s="2205"/>
      <c r="CD25" s="2205"/>
      <c r="CE25" s="2205"/>
      <c r="CF25" s="2205"/>
      <c r="CG25" s="2205"/>
      <c r="CH25" s="2205"/>
      <c r="CK25" s="437"/>
      <c r="CL25" s="437"/>
      <c r="CM25" s="437"/>
      <c r="CN25" s="437"/>
      <c r="CO25" s="437"/>
    </row>
    <row r="26" spans="1:93" s="1830" customFormat="1" ht="14.25" hidden="1" customHeight="1">
      <c r="A26" s="1055"/>
      <c r="B26" s="1055"/>
      <c r="C26" s="1055"/>
      <c r="D26" s="1055"/>
      <c r="E26" s="1055"/>
      <c r="F26" s="1055"/>
      <c r="G26" s="1055"/>
      <c r="H26" s="1055"/>
      <c r="I26" s="1055"/>
      <c r="J26" s="1055"/>
      <c r="K26" s="1055"/>
      <c r="L26" s="1055"/>
      <c r="M26" s="1244"/>
      <c r="N26" s="1245"/>
      <c r="O26" s="1245"/>
      <c r="P26" s="1228" t="s">
        <v>535</v>
      </c>
      <c r="Q26" s="1278"/>
      <c r="R26" s="1287"/>
      <c r="S26" s="1287"/>
      <c r="T26" s="1287"/>
      <c r="U26" s="648"/>
      <c r="V26" s="1060" t="s">
        <v>536</v>
      </c>
      <c r="AD26" s="107" t="s">
        <v>537</v>
      </c>
      <c r="AF26" s="107" t="s">
        <v>538</v>
      </c>
      <c r="AG26" s="1060" t="s">
        <v>536</v>
      </c>
      <c r="AM26" s="107" t="s">
        <v>539</v>
      </c>
      <c r="AO26" s="107" t="s">
        <v>538</v>
      </c>
      <c r="AP26" s="2205"/>
      <c r="AQ26" s="2205"/>
      <c r="AR26" s="2205"/>
      <c r="AS26" s="2205"/>
      <c r="AT26" s="2205"/>
      <c r="AU26" s="2205"/>
      <c r="AV26" s="2207" t="s">
        <v>537</v>
      </c>
      <c r="AW26" s="2205"/>
      <c r="AX26" s="2207" t="s">
        <v>538</v>
      </c>
      <c r="AY26" s="2205"/>
      <c r="AZ26" s="2205"/>
      <c r="BA26" s="2205"/>
      <c r="BB26" s="2205"/>
      <c r="BC26" s="2205"/>
      <c r="BD26" s="2205"/>
      <c r="BE26" s="2207" t="s">
        <v>537</v>
      </c>
      <c r="BF26" s="2205"/>
      <c r="BG26" s="2207" t="s">
        <v>538</v>
      </c>
      <c r="BH26" s="2205"/>
      <c r="BI26" s="2205"/>
      <c r="BJ26" s="2205"/>
      <c r="BK26" s="2205"/>
      <c r="BL26" s="2205"/>
      <c r="BM26" s="2205"/>
      <c r="BN26" s="2207" t="s">
        <v>537</v>
      </c>
      <c r="BO26" s="2205"/>
      <c r="BP26" s="2207" t="s">
        <v>538</v>
      </c>
      <c r="BQ26" s="2205"/>
      <c r="BR26" s="2205"/>
      <c r="BS26" s="2205"/>
      <c r="BT26" s="2205"/>
      <c r="BU26" s="2205"/>
      <c r="BV26" s="2205"/>
      <c r="BW26" s="2207" t="s">
        <v>537</v>
      </c>
      <c r="BX26" s="2205"/>
      <c r="BY26" s="2207" t="s">
        <v>538</v>
      </c>
      <c r="BZ26" s="2205"/>
      <c r="CA26" s="2205"/>
      <c r="CB26" s="2205"/>
      <c r="CC26" s="2205"/>
      <c r="CD26" s="2205"/>
      <c r="CE26" s="2205"/>
      <c r="CF26" s="2207" t="s">
        <v>537</v>
      </c>
      <c r="CG26" s="2205"/>
      <c r="CH26" s="2207" t="s">
        <v>538</v>
      </c>
      <c r="CK26" s="437"/>
      <c r="CL26" s="437"/>
      <c r="CM26" s="437"/>
      <c r="CN26" s="437"/>
      <c r="CO26" s="437"/>
    </row>
    <row r="27" spans="1:93" ht="14.25" hidden="1" customHeight="1">
      <c r="P27" s="1228"/>
      <c r="AP27" s="2077"/>
      <c r="AQ27" s="2077"/>
      <c r="AR27" s="2077"/>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c r="BP27" s="2077"/>
      <c r="BQ27" s="2077"/>
      <c r="BR27" s="2077"/>
      <c r="BS27" s="2077"/>
      <c r="BT27" s="2077"/>
      <c r="BU27" s="2077"/>
      <c r="BV27" s="2077"/>
      <c r="BW27" s="2077"/>
      <c r="BX27" s="2077"/>
      <c r="BY27" s="2077"/>
      <c r="BZ27" s="2077"/>
      <c r="CA27" s="2077"/>
      <c r="CB27" s="2077"/>
      <c r="CC27" s="2077"/>
      <c r="CD27" s="2077"/>
      <c r="CE27" s="2077"/>
      <c r="CF27" s="2077"/>
      <c r="CG27" s="2077"/>
      <c r="CH27" s="2077"/>
    </row>
    <row r="28" spans="1:93" ht="14.25" hidden="1" customHeight="1">
      <c r="P28" s="1228"/>
      <c r="AP28" s="2077"/>
      <c r="AQ28" s="2077"/>
      <c r="AR28" s="2077"/>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c r="BP28" s="2077"/>
      <c r="BQ28" s="2077"/>
      <c r="BR28" s="2077"/>
      <c r="BS28" s="2077"/>
      <c r="BT28" s="2077"/>
      <c r="BU28" s="2077"/>
      <c r="BV28" s="2077"/>
      <c r="BW28" s="2077"/>
      <c r="BX28" s="2077"/>
      <c r="BY28" s="2077"/>
      <c r="BZ28" s="2077"/>
      <c r="CA28" s="2077"/>
      <c r="CB28" s="2077"/>
      <c r="CC28" s="2077"/>
      <c r="CD28" s="2077"/>
      <c r="CE28" s="2077"/>
      <c r="CF28" s="2077"/>
      <c r="CG28" s="2077"/>
      <c r="CH28" s="2077"/>
    </row>
    <row r="29" spans="1:93"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c r="AP29" s="2077"/>
      <c r="AQ29" s="2077"/>
      <c r="AR29" s="2077"/>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c r="BP29" s="2077"/>
      <c r="BQ29" s="2077"/>
      <c r="BR29" s="2077"/>
      <c r="BS29" s="2077"/>
      <c r="BT29" s="2077"/>
      <c r="BU29" s="2077"/>
      <c r="BV29" s="2077"/>
      <c r="BW29" s="2077"/>
      <c r="BX29" s="2077"/>
      <c r="BY29" s="2077"/>
      <c r="BZ29" s="2077"/>
      <c r="CA29" s="2077"/>
      <c r="CB29" s="2077"/>
      <c r="CC29" s="2077"/>
      <c r="CD29" s="2077"/>
      <c r="CE29" s="2077"/>
      <c r="CF29" s="2077"/>
      <c r="CG29" s="2077"/>
      <c r="CH29" s="2077"/>
    </row>
    <row r="30" spans="1:93" ht="54" customHeight="1">
      <c r="R30" s="305"/>
      <c r="S30" s="305"/>
      <c r="T30" s="305"/>
      <c r="U30" s="674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6747"/>
      <c r="W30" s="6747"/>
      <c r="X30" s="6747"/>
      <c r="Y30" s="6747"/>
      <c r="Z30" s="6747"/>
      <c r="AA30" s="6747"/>
      <c r="AB30" s="6747"/>
      <c r="AC30" s="6747"/>
      <c r="AD30" s="6747"/>
      <c r="AE30" s="6747"/>
      <c r="AF30" s="6747"/>
      <c r="AG30" s="6747"/>
      <c r="AH30" s="6747"/>
      <c r="AI30" s="6747"/>
      <c r="AJ30" s="6747"/>
      <c r="AK30" s="6747"/>
      <c r="AL30" s="6747"/>
      <c r="AM30" s="6747"/>
      <c r="AN30" s="6747"/>
      <c r="AO30" s="1152"/>
      <c r="AP30" s="2208"/>
      <c r="AQ30" s="2208"/>
      <c r="AR30" s="2208"/>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c r="BP30" s="2208"/>
      <c r="BQ30" s="2208"/>
      <c r="BR30" s="2208"/>
      <c r="BS30" s="2208"/>
      <c r="BT30" s="2208"/>
      <c r="BU30" s="2208"/>
      <c r="BV30" s="2208"/>
      <c r="BW30" s="2208"/>
      <c r="BX30" s="2208"/>
      <c r="BY30" s="2208"/>
      <c r="BZ30" s="2208"/>
      <c r="CA30" s="2208"/>
      <c r="CB30" s="2208"/>
      <c r="CC30" s="2208"/>
      <c r="CD30" s="2208"/>
      <c r="CE30" s="2208"/>
      <c r="CF30" s="2208"/>
      <c r="CG30" s="2208"/>
      <c r="CH30" s="2208"/>
    </row>
    <row r="31" spans="1:93" ht="14.25" customHeight="1">
      <c r="R31" s="305"/>
      <c r="S31" s="305"/>
      <c r="T31" s="305"/>
      <c r="U31" s="6694" t="str">
        <f>IF(org=0,"Не определено",org)</f>
        <v>ООО "Марикоммунэнерго"</v>
      </c>
      <c r="V31" s="6694"/>
      <c r="W31" s="6694"/>
      <c r="X31" s="6694"/>
      <c r="Y31" s="6694"/>
      <c r="Z31" s="6694"/>
      <c r="AA31" s="6694"/>
      <c r="AB31" s="6694"/>
      <c r="AC31" s="6694"/>
      <c r="AD31" s="6694"/>
      <c r="AE31" s="6694"/>
      <c r="AF31" s="6694"/>
      <c r="AG31" s="6694"/>
      <c r="AH31" s="6694"/>
      <c r="AI31" s="6694"/>
      <c r="AJ31" s="6694"/>
      <c r="AK31" s="6694"/>
      <c r="AL31" s="6694"/>
      <c r="AM31" s="6694"/>
      <c r="AN31" s="6694"/>
      <c r="AO31" s="1152"/>
      <c r="AP31" s="2209"/>
      <c r="AQ31" s="2209"/>
      <c r="AR31" s="2209"/>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c r="BP31" s="2209"/>
      <c r="BQ31" s="2209"/>
      <c r="BR31" s="2209"/>
      <c r="BS31" s="2209"/>
      <c r="BT31" s="2209"/>
      <c r="BU31" s="2209"/>
      <c r="BV31" s="2209"/>
      <c r="BW31" s="2209"/>
      <c r="BX31" s="2209"/>
      <c r="BY31" s="2209"/>
      <c r="BZ31" s="2209"/>
      <c r="CA31" s="2209"/>
      <c r="CB31" s="2209"/>
      <c r="CC31" s="2209"/>
      <c r="CD31" s="2209"/>
      <c r="CE31" s="2209"/>
      <c r="CF31" s="2209"/>
      <c r="CG31" s="2209"/>
      <c r="CH31" s="2209"/>
    </row>
    <row r="32" spans="1:93"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2210"/>
      <c r="AQ32" s="2210"/>
      <c r="AR32" s="2210"/>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c r="BP32" s="2210"/>
      <c r="BQ32" s="2210"/>
      <c r="BR32" s="2210"/>
      <c r="BS32" s="2210"/>
      <c r="BT32" s="2210"/>
      <c r="BU32" s="2210"/>
      <c r="BV32" s="2210"/>
      <c r="BW32" s="2210"/>
      <c r="BX32" s="2210"/>
      <c r="BY32" s="2210"/>
      <c r="BZ32" s="2210"/>
      <c r="CA32" s="2210"/>
      <c r="CB32" s="2210"/>
      <c r="CC32" s="2210"/>
      <c r="CD32" s="2210"/>
      <c r="CE32" s="2210"/>
      <c r="CF32" s="2210"/>
      <c r="CG32" s="2210"/>
      <c r="CH32" s="2210"/>
      <c r="CI32" s="435"/>
    </row>
    <row r="33" spans="1:93" s="2072" customFormat="1" ht="25.5" customHeight="1">
      <c r="A33" s="1158"/>
      <c r="B33" s="1158"/>
      <c r="C33" s="1158"/>
      <c r="D33" s="1158"/>
      <c r="E33" s="1158"/>
      <c r="F33" s="1158"/>
      <c r="G33" s="1158"/>
      <c r="H33" s="1158"/>
      <c r="I33" s="1158"/>
      <c r="J33" s="1158"/>
      <c r="K33" s="1158"/>
      <c r="L33" s="1158"/>
      <c r="M33" s="1296"/>
      <c r="N33" s="1158"/>
      <c r="O33" s="1158"/>
      <c r="P33" s="1158"/>
      <c r="U33" s="6755" t="s">
        <v>38</v>
      </c>
      <c r="V33" s="6755"/>
      <c r="W33" s="1288"/>
      <c r="X33" s="6756" t="str">
        <f>IF(TITLE_NAME_OR_PR_CHANGE="",IF(TITLE_NAME_OR_PR="","",TITLE_NAME_OR_PR),TITLE_NAME_OR_PR_CHANGE)</f>
        <v>Министерство промышленности, экономического развития и торговли Республики Марий Эл</v>
      </c>
      <c r="Y33" s="6756"/>
      <c r="Z33" s="6756"/>
      <c r="AA33" s="6756"/>
      <c r="AB33" s="6756"/>
      <c r="AC33" s="6756"/>
      <c r="AD33" s="6756"/>
      <c r="AE33" s="6756"/>
      <c r="AF33" s="253"/>
      <c r="AG33" s="6756" t="str">
        <f>IF(TITLE_NAME_OR_PR_CHANGE="",IF(TITLE_NAME_OR_PR="","",TITLE_NAME_OR_PR),TITLE_NAME_OR_PR_CHANGE)</f>
        <v>Министерство промышленности, экономического развития и торговли Республики Марий Эл</v>
      </c>
      <c r="AH33" s="6756"/>
      <c r="AI33" s="6756"/>
      <c r="AJ33" s="6756"/>
      <c r="AK33" s="6756"/>
      <c r="AL33" s="6756"/>
      <c r="AM33" s="6756"/>
      <c r="AN33" s="6756"/>
      <c r="AO33" s="253"/>
      <c r="AP33" s="6756" t="str">
        <f>IF(TITLE_NAME_OR_PR_CHANGE="",IF(TITLE_NAME_OR_PR="","",TITLE_NAME_OR_PR),TITLE_NAME_OR_PR_CHANGE)</f>
        <v>Министерство промышленности, экономического развития и торговли Республики Марий Эл</v>
      </c>
      <c r="AQ33" s="6756"/>
      <c r="AR33" s="6756"/>
      <c r="AS33" s="6756"/>
      <c r="AT33" s="6756"/>
      <c r="AU33" s="6756"/>
      <c r="AV33" s="6756"/>
      <c r="AW33" s="6756"/>
      <c r="AX33" s="2077"/>
      <c r="AY33" s="6756" t="str">
        <f>IF(TITLE_NAME_OR_PR_CHANGE="",IF(TITLE_NAME_OR_PR="","",TITLE_NAME_OR_PR),TITLE_NAME_OR_PR_CHANGE)</f>
        <v>Министерство промышленности, экономического развития и торговли Республики Марий Эл</v>
      </c>
      <c r="AZ33" s="6756"/>
      <c r="BA33" s="6756"/>
      <c r="BB33" s="6756"/>
      <c r="BC33" s="6756"/>
      <c r="BD33" s="6756"/>
      <c r="BE33" s="6756"/>
      <c r="BF33" s="6756"/>
      <c r="BG33" s="2077"/>
      <c r="BH33" s="6756" t="str">
        <f>IF(TITLE_NAME_OR_PR_CHANGE="",IF(TITLE_NAME_OR_PR="","",TITLE_NAME_OR_PR),TITLE_NAME_OR_PR_CHANGE)</f>
        <v>Министерство промышленности, экономического развития и торговли Республики Марий Эл</v>
      </c>
      <c r="BI33" s="6756"/>
      <c r="BJ33" s="6756"/>
      <c r="BK33" s="6756"/>
      <c r="BL33" s="6756"/>
      <c r="BM33" s="6756"/>
      <c r="BN33" s="6756"/>
      <c r="BO33" s="6756"/>
      <c r="BP33" s="2077"/>
      <c r="BQ33" s="6756" t="str">
        <f>IF(TITLE_NAME_OR_PR_CHANGE="",IF(TITLE_NAME_OR_PR="","",TITLE_NAME_OR_PR),TITLE_NAME_OR_PR_CHANGE)</f>
        <v>Министерство промышленности, экономического развития и торговли Республики Марий Эл</v>
      </c>
      <c r="BR33" s="6756"/>
      <c r="BS33" s="6756"/>
      <c r="BT33" s="6756"/>
      <c r="BU33" s="6756"/>
      <c r="BV33" s="6756"/>
      <c r="BW33" s="6756"/>
      <c r="BX33" s="6756"/>
      <c r="BY33" s="2077"/>
      <c r="BZ33" s="6756" t="str">
        <f>IF(TITLE_NAME_OR_PR_CHANGE="",IF(TITLE_NAME_OR_PR="","",TITLE_NAME_OR_PR),TITLE_NAME_OR_PR_CHANGE)</f>
        <v>Министерство промышленности, экономического развития и торговли Республики Марий Эл</v>
      </c>
      <c r="CA33" s="6756"/>
      <c r="CB33" s="6756"/>
      <c r="CC33" s="6756"/>
      <c r="CD33" s="6756"/>
      <c r="CE33" s="6756"/>
      <c r="CF33" s="6756"/>
      <c r="CG33" s="6756"/>
      <c r="CH33" s="2077"/>
      <c r="CI33" s="253"/>
      <c r="CJ33" s="200"/>
      <c r="CK33" s="296"/>
      <c r="CL33" s="296"/>
      <c r="CM33" s="296"/>
      <c r="CN33" s="296"/>
      <c r="CO33" s="296"/>
    </row>
    <row r="34" spans="1:93" s="2072" customFormat="1" ht="18.75" customHeight="1">
      <c r="A34" s="1158"/>
      <c r="B34" s="1158"/>
      <c r="C34" s="1158"/>
      <c r="D34" s="1158"/>
      <c r="E34" s="1158"/>
      <c r="F34" s="1158"/>
      <c r="G34" s="1158"/>
      <c r="H34" s="1158"/>
      <c r="I34" s="1158"/>
      <c r="J34" s="1158"/>
      <c r="K34" s="1158"/>
      <c r="L34" s="1158"/>
      <c r="M34" s="1296"/>
      <c r="N34" s="1158"/>
      <c r="O34" s="1158"/>
      <c r="P34" s="1158"/>
      <c r="U34" s="6755" t="s">
        <v>540</v>
      </c>
      <c r="V34" s="6755"/>
      <c r="W34" s="1288"/>
      <c r="X34" s="6765">
        <f>IF(TITLE_DATE_PR_CHANGE="",IF(TITLE_DATE_PR="","",TITLE_DATE_PR),TITLE_DATE_PR_CHANGE)</f>
        <v>45280.426180555558</v>
      </c>
      <c r="Y34" s="6765"/>
      <c r="Z34" s="6765"/>
      <c r="AA34" s="6765"/>
      <c r="AB34" s="6765"/>
      <c r="AC34" s="6765"/>
      <c r="AD34" s="6765"/>
      <c r="AE34" s="6765"/>
      <c r="AF34" s="253"/>
      <c r="AG34" s="6765">
        <f>IF(TITLE_DATE_PR_CHANGE="",IF(TITLE_DATE_PR="","",TITLE_DATE_PR),TITLE_DATE_PR_CHANGE)</f>
        <v>45280.426180555558</v>
      </c>
      <c r="AH34" s="6765"/>
      <c r="AI34" s="6765"/>
      <c r="AJ34" s="6765"/>
      <c r="AK34" s="6765"/>
      <c r="AL34" s="6765"/>
      <c r="AM34" s="6765"/>
      <c r="AN34" s="6765"/>
      <c r="AO34" s="253"/>
      <c r="AP34" s="6765">
        <f>IF(TITLE_DATE_PR_CHANGE="",IF(TITLE_DATE_PR="","",TITLE_DATE_PR),TITLE_DATE_PR_CHANGE)</f>
        <v>45280.426180555558</v>
      </c>
      <c r="AQ34" s="6765"/>
      <c r="AR34" s="6765"/>
      <c r="AS34" s="6765"/>
      <c r="AT34" s="6765"/>
      <c r="AU34" s="6765"/>
      <c r="AV34" s="6765"/>
      <c r="AW34" s="6765"/>
      <c r="AX34" s="2077"/>
      <c r="AY34" s="6765">
        <f>IF(TITLE_DATE_PR_CHANGE="",IF(TITLE_DATE_PR="","",TITLE_DATE_PR),TITLE_DATE_PR_CHANGE)</f>
        <v>45280.426180555558</v>
      </c>
      <c r="AZ34" s="6765"/>
      <c r="BA34" s="6765"/>
      <c r="BB34" s="6765"/>
      <c r="BC34" s="6765"/>
      <c r="BD34" s="6765"/>
      <c r="BE34" s="6765"/>
      <c r="BF34" s="6765"/>
      <c r="BG34" s="2077"/>
      <c r="BH34" s="6765">
        <f>IF(TITLE_DATE_PR_CHANGE="",IF(TITLE_DATE_PR="","",TITLE_DATE_PR),TITLE_DATE_PR_CHANGE)</f>
        <v>45280.426180555558</v>
      </c>
      <c r="BI34" s="6765"/>
      <c r="BJ34" s="6765"/>
      <c r="BK34" s="6765"/>
      <c r="BL34" s="6765"/>
      <c r="BM34" s="6765"/>
      <c r="BN34" s="6765"/>
      <c r="BO34" s="6765"/>
      <c r="BP34" s="2077"/>
      <c r="BQ34" s="6765">
        <f>IF(TITLE_DATE_PR_CHANGE="",IF(TITLE_DATE_PR="","",TITLE_DATE_PR),TITLE_DATE_PR_CHANGE)</f>
        <v>45280.426180555558</v>
      </c>
      <c r="BR34" s="6765"/>
      <c r="BS34" s="6765"/>
      <c r="BT34" s="6765"/>
      <c r="BU34" s="6765"/>
      <c r="BV34" s="6765"/>
      <c r="BW34" s="6765"/>
      <c r="BX34" s="6765"/>
      <c r="BY34" s="2077"/>
      <c r="BZ34" s="6765">
        <f>IF(TITLE_DATE_PR_CHANGE="",IF(TITLE_DATE_PR="","",TITLE_DATE_PR),TITLE_DATE_PR_CHANGE)</f>
        <v>45280.426180555558</v>
      </c>
      <c r="CA34" s="6765"/>
      <c r="CB34" s="6765"/>
      <c r="CC34" s="6765"/>
      <c r="CD34" s="6765"/>
      <c r="CE34" s="6765"/>
      <c r="CF34" s="6765"/>
      <c r="CG34" s="6765"/>
      <c r="CH34" s="2077"/>
      <c r="CI34" s="253"/>
      <c r="CJ34" s="200"/>
      <c r="CK34" s="296"/>
      <c r="CL34" s="296"/>
      <c r="CM34" s="296"/>
      <c r="CN34" s="296"/>
      <c r="CO34" s="296"/>
    </row>
    <row r="35" spans="1:93" s="2072" customFormat="1" ht="18.75" customHeight="1">
      <c r="A35" s="1158"/>
      <c r="B35" s="1158"/>
      <c r="C35" s="1158"/>
      <c r="D35" s="1158"/>
      <c r="E35" s="1158"/>
      <c r="F35" s="1158"/>
      <c r="G35" s="1158"/>
      <c r="H35" s="1158"/>
      <c r="I35" s="1158"/>
      <c r="J35" s="1158"/>
      <c r="K35" s="1158"/>
      <c r="L35" s="1158"/>
      <c r="M35" s="1296"/>
      <c r="N35" s="1158"/>
      <c r="O35" s="1158"/>
      <c r="P35" s="1158"/>
      <c r="U35" s="6755" t="s">
        <v>541</v>
      </c>
      <c r="V35" s="6755"/>
      <c r="W35" s="1288"/>
      <c r="X35" s="6756" t="str">
        <f>IF(TITLE_NUMBER_PR_CHANGE="",IF(TITLE_NUMBER_PR="","",TITLE_NUMBER_PR),TITLE_NUMBER_PR_CHANGE)</f>
        <v>124 т, 125 т, 126 т, 169 т</v>
      </c>
      <c r="Y35" s="6756"/>
      <c r="Z35" s="6756"/>
      <c r="AA35" s="6756"/>
      <c r="AB35" s="6756"/>
      <c r="AC35" s="6756"/>
      <c r="AD35" s="6756"/>
      <c r="AE35" s="6756"/>
      <c r="AF35" s="253"/>
      <c r="AG35" s="6756" t="str">
        <f>IF(TITLE_NUMBER_PR_CHANGE="",IF(TITLE_NUMBER_PR="","",TITLE_NUMBER_PR),TITLE_NUMBER_PR_CHANGE)</f>
        <v>124 т, 125 т, 126 т, 169 т</v>
      </c>
      <c r="AH35" s="6756"/>
      <c r="AI35" s="6756"/>
      <c r="AJ35" s="6756"/>
      <c r="AK35" s="6756"/>
      <c r="AL35" s="6756"/>
      <c r="AM35" s="6756"/>
      <c r="AN35" s="6756"/>
      <c r="AO35" s="253"/>
      <c r="AP35" s="6756" t="str">
        <f>IF(TITLE_NUMBER_PR_CHANGE="",IF(TITLE_NUMBER_PR="","",TITLE_NUMBER_PR),TITLE_NUMBER_PR_CHANGE)</f>
        <v>124 т, 125 т, 126 т, 169 т</v>
      </c>
      <c r="AQ35" s="6756"/>
      <c r="AR35" s="6756"/>
      <c r="AS35" s="6756"/>
      <c r="AT35" s="6756"/>
      <c r="AU35" s="6756"/>
      <c r="AV35" s="6756"/>
      <c r="AW35" s="6756"/>
      <c r="AX35" s="2077"/>
      <c r="AY35" s="6756" t="str">
        <f>IF(TITLE_NUMBER_PR_CHANGE="",IF(TITLE_NUMBER_PR="","",TITLE_NUMBER_PR),TITLE_NUMBER_PR_CHANGE)</f>
        <v>124 т, 125 т, 126 т, 169 т</v>
      </c>
      <c r="AZ35" s="6756"/>
      <c r="BA35" s="6756"/>
      <c r="BB35" s="6756"/>
      <c r="BC35" s="6756"/>
      <c r="BD35" s="6756"/>
      <c r="BE35" s="6756"/>
      <c r="BF35" s="6756"/>
      <c r="BG35" s="2077"/>
      <c r="BH35" s="6756" t="str">
        <f>IF(TITLE_NUMBER_PR_CHANGE="",IF(TITLE_NUMBER_PR="","",TITLE_NUMBER_PR),TITLE_NUMBER_PR_CHANGE)</f>
        <v>124 т, 125 т, 126 т, 169 т</v>
      </c>
      <c r="BI35" s="6756"/>
      <c r="BJ35" s="6756"/>
      <c r="BK35" s="6756"/>
      <c r="BL35" s="6756"/>
      <c r="BM35" s="6756"/>
      <c r="BN35" s="6756"/>
      <c r="BO35" s="6756"/>
      <c r="BP35" s="2077"/>
      <c r="BQ35" s="6756" t="str">
        <f>IF(TITLE_NUMBER_PR_CHANGE="",IF(TITLE_NUMBER_PR="","",TITLE_NUMBER_PR),TITLE_NUMBER_PR_CHANGE)</f>
        <v>124 т, 125 т, 126 т, 169 т</v>
      </c>
      <c r="BR35" s="6756"/>
      <c r="BS35" s="6756"/>
      <c r="BT35" s="6756"/>
      <c r="BU35" s="6756"/>
      <c r="BV35" s="6756"/>
      <c r="BW35" s="6756"/>
      <c r="BX35" s="6756"/>
      <c r="BY35" s="2077"/>
      <c r="BZ35" s="6756" t="str">
        <f>IF(TITLE_NUMBER_PR_CHANGE="",IF(TITLE_NUMBER_PR="","",TITLE_NUMBER_PR),TITLE_NUMBER_PR_CHANGE)</f>
        <v>124 т, 125 т, 126 т, 169 т</v>
      </c>
      <c r="CA35" s="6756"/>
      <c r="CB35" s="6756"/>
      <c r="CC35" s="6756"/>
      <c r="CD35" s="6756"/>
      <c r="CE35" s="6756"/>
      <c r="CF35" s="6756"/>
      <c r="CG35" s="6756"/>
      <c r="CH35" s="2077"/>
      <c r="CI35" s="253"/>
      <c r="CJ35" s="200"/>
      <c r="CK35" s="296"/>
      <c r="CL35" s="296"/>
      <c r="CM35" s="296"/>
      <c r="CN35" s="296"/>
      <c r="CO35" s="296"/>
    </row>
    <row r="36" spans="1:93" s="2072" customFormat="1" ht="18.75" customHeight="1">
      <c r="A36" s="1158"/>
      <c r="B36" s="1158"/>
      <c r="C36" s="1158"/>
      <c r="D36" s="1158"/>
      <c r="E36" s="1158"/>
      <c r="F36" s="1158"/>
      <c r="G36" s="1158"/>
      <c r="H36" s="1158"/>
      <c r="I36" s="1158"/>
      <c r="J36" s="1158"/>
      <c r="K36" s="1158"/>
      <c r="L36" s="1158"/>
      <c r="M36" s="1296"/>
      <c r="N36" s="1158"/>
      <c r="O36" s="1158"/>
      <c r="P36" s="1158"/>
      <c r="U36" s="6755" t="s">
        <v>40</v>
      </c>
      <c r="V36" s="6755"/>
      <c r="W36" s="1288"/>
      <c r="X36" s="6756" t="str">
        <f>IF(TITLE_IST_PUB_CHANGE="",IF(TITLE_IST_PUB="","",TITLE_IST_PUB),TITLE_IST_PUB_CHANGE)</f>
        <v>портал Официальное опубликование нормативных правовых актов  Республики Марий Эл</v>
      </c>
      <c r="Y36" s="6756"/>
      <c r="Z36" s="6756"/>
      <c r="AA36" s="6756"/>
      <c r="AB36" s="6756"/>
      <c r="AC36" s="6756"/>
      <c r="AD36" s="6756"/>
      <c r="AE36" s="6756"/>
      <c r="AF36" s="253"/>
      <c r="AG36" s="6756" t="str">
        <f>IF(TITLE_IST_PUB_CHANGE="",IF(TITLE_IST_PUB="","",TITLE_IST_PUB),TITLE_IST_PUB_CHANGE)</f>
        <v>портал Официальное опубликование нормативных правовых актов  Республики Марий Эл</v>
      </c>
      <c r="AH36" s="6756"/>
      <c r="AI36" s="6756"/>
      <c r="AJ36" s="6756"/>
      <c r="AK36" s="6756"/>
      <c r="AL36" s="6756"/>
      <c r="AM36" s="6756"/>
      <c r="AN36" s="6756"/>
      <c r="AO36" s="253"/>
      <c r="AP36" s="6756" t="str">
        <f>IF(TITLE_IST_PUB_CHANGE="",IF(TITLE_IST_PUB="","",TITLE_IST_PUB),TITLE_IST_PUB_CHANGE)</f>
        <v>портал Официальное опубликование нормативных правовых актов  Республики Марий Эл</v>
      </c>
      <c r="AQ36" s="6756"/>
      <c r="AR36" s="6756"/>
      <c r="AS36" s="6756"/>
      <c r="AT36" s="6756"/>
      <c r="AU36" s="6756"/>
      <c r="AV36" s="6756"/>
      <c r="AW36" s="6756"/>
      <c r="AX36" s="2077"/>
      <c r="AY36" s="6756" t="str">
        <f>IF(TITLE_IST_PUB_CHANGE="",IF(TITLE_IST_PUB="","",TITLE_IST_PUB),TITLE_IST_PUB_CHANGE)</f>
        <v>портал Официальное опубликование нормативных правовых актов  Республики Марий Эл</v>
      </c>
      <c r="AZ36" s="6756"/>
      <c r="BA36" s="6756"/>
      <c r="BB36" s="6756"/>
      <c r="BC36" s="6756"/>
      <c r="BD36" s="6756"/>
      <c r="BE36" s="6756"/>
      <c r="BF36" s="6756"/>
      <c r="BG36" s="2077"/>
      <c r="BH36" s="6756" t="str">
        <f>IF(TITLE_IST_PUB_CHANGE="",IF(TITLE_IST_PUB="","",TITLE_IST_PUB),TITLE_IST_PUB_CHANGE)</f>
        <v>портал Официальное опубликование нормативных правовых актов  Республики Марий Эл</v>
      </c>
      <c r="BI36" s="6756"/>
      <c r="BJ36" s="6756"/>
      <c r="BK36" s="6756"/>
      <c r="BL36" s="6756"/>
      <c r="BM36" s="6756"/>
      <c r="BN36" s="6756"/>
      <c r="BO36" s="6756"/>
      <c r="BP36" s="2077"/>
      <c r="BQ36" s="6756" t="str">
        <f>IF(TITLE_IST_PUB_CHANGE="",IF(TITLE_IST_PUB="","",TITLE_IST_PUB),TITLE_IST_PUB_CHANGE)</f>
        <v>портал Официальное опубликование нормативных правовых актов  Республики Марий Эл</v>
      </c>
      <c r="BR36" s="6756"/>
      <c r="BS36" s="6756"/>
      <c r="BT36" s="6756"/>
      <c r="BU36" s="6756"/>
      <c r="BV36" s="6756"/>
      <c r="BW36" s="6756"/>
      <c r="BX36" s="6756"/>
      <c r="BY36" s="2077"/>
      <c r="BZ36" s="6756" t="str">
        <f>IF(TITLE_IST_PUB_CHANGE="",IF(TITLE_IST_PUB="","",TITLE_IST_PUB),TITLE_IST_PUB_CHANGE)</f>
        <v>портал Официальное опубликование нормативных правовых актов  Республики Марий Эл</v>
      </c>
      <c r="CA36" s="6756"/>
      <c r="CB36" s="6756"/>
      <c r="CC36" s="6756"/>
      <c r="CD36" s="6756"/>
      <c r="CE36" s="6756"/>
      <c r="CF36" s="6756"/>
      <c r="CG36" s="6756"/>
      <c r="CH36" s="2077"/>
      <c r="CI36" s="253"/>
      <c r="CJ36" s="200"/>
      <c r="CK36" s="296"/>
      <c r="CL36" s="296"/>
      <c r="CM36" s="296"/>
      <c r="CN36" s="296"/>
      <c r="CO36" s="296"/>
    </row>
    <row r="37" spans="1:93"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2210"/>
      <c r="AQ37" s="2210"/>
      <c r="AR37" s="2210"/>
      <c r="AS37" s="2210"/>
      <c r="AT37" s="2210"/>
      <c r="AU37" s="2210"/>
      <c r="AV37" s="2210"/>
      <c r="AW37" s="2210"/>
      <c r="AX37" s="2210"/>
      <c r="AY37" s="2210"/>
      <c r="AZ37" s="2210"/>
      <c r="BA37" s="2210"/>
      <c r="BB37" s="2210"/>
      <c r="BC37" s="2210"/>
      <c r="BD37" s="2210"/>
      <c r="BE37" s="2210"/>
      <c r="BF37" s="2210"/>
      <c r="BG37" s="2210"/>
      <c r="BH37" s="2210"/>
      <c r="BI37" s="2210"/>
      <c r="BJ37" s="2210"/>
      <c r="BK37" s="2210"/>
      <c r="BL37" s="2210"/>
      <c r="BM37" s="2210"/>
      <c r="BN37" s="2210"/>
      <c r="BO37" s="2210"/>
      <c r="BP37" s="2210"/>
      <c r="BQ37" s="2210"/>
      <c r="BR37" s="2210"/>
      <c r="BS37" s="2210"/>
      <c r="BT37" s="2210"/>
      <c r="BU37" s="2210"/>
      <c r="BV37" s="2210"/>
      <c r="BW37" s="2210"/>
      <c r="BX37" s="2210"/>
      <c r="BY37" s="2210"/>
      <c r="BZ37" s="2210"/>
      <c r="CA37" s="2210"/>
      <c r="CB37" s="2210"/>
      <c r="CC37" s="2210"/>
      <c r="CD37" s="2210"/>
      <c r="CE37" s="2210"/>
      <c r="CF37" s="2210"/>
      <c r="CG37" s="2210"/>
      <c r="CH37" s="2210"/>
      <c r="CI37" s="435"/>
    </row>
    <row r="38" spans="1:93" s="2072" customFormat="1" ht="18.75" hidden="1" customHeight="1">
      <c r="A38" s="1158"/>
      <c r="B38" s="1158"/>
      <c r="C38" s="1158"/>
      <c r="D38" s="1158"/>
      <c r="E38" s="1158"/>
      <c r="F38" s="1158"/>
      <c r="G38" s="1158"/>
      <c r="H38" s="1158"/>
      <c r="I38" s="1158"/>
      <c r="J38" s="1158"/>
      <c r="K38" s="1158"/>
      <c r="L38" s="1158"/>
      <c r="M38" s="1296"/>
      <c r="N38" s="1158"/>
      <c r="O38" s="1158"/>
      <c r="P38" s="1158"/>
      <c r="U38" s="6755" t="s">
        <v>542</v>
      </c>
      <c r="V38" s="6755"/>
      <c r="W38" s="1288"/>
      <c r="X38" s="6765">
        <f>IF(TITLE_DATE_PR_CHANGE="",IF(TITLE_DATE_PR="","",TITLE_DATE_PR),TITLE_DATE_PR_CHANGE)</f>
        <v>45280.426180555558</v>
      </c>
      <c r="Y38" s="6765"/>
      <c r="Z38" s="6765"/>
      <c r="AA38" s="6765"/>
      <c r="AB38" s="6765"/>
      <c r="AC38" s="6765"/>
      <c r="AD38" s="6765"/>
      <c r="AE38" s="6765"/>
      <c r="AF38" s="253"/>
      <c r="AG38" s="6765">
        <f>IF(TITLE_DATE_PR_CHANGE="",IF(TITLE_DATE_PR="","",TITLE_DATE_PR),TITLE_DATE_PR_CHANGE)</f>
        <v>45280.426180555558</v>
      </c>
      <c r="AH38" s="6765"/>
      <c r="AI38" s="6765"/>
      <c r="AJ38" s="6765"/>
      <c r="AK38" s="6765"/>
      <c r="AL38" s="6765"/>
      <c r="AM38" s="6765"/>
      <c r="AN38" s="6765"/>
      <c r="AO38" s="253"/>
      <c r="AP38" s="6765">
        <f>IF(TITLE_DATE_PR_CHANGE="",IF(TITLE_DATE_PR="","",TITLE_DATE_PR),TITLE_DATE_PR_CHANGE)</f>
        <v>45280.426180555558</v>
      </c>
      <c r="AQ38" s="6765"/>
      <c r="AR38" s="6765"/>
      <c r="AS38" s="6765"/>
      <c r="AT38" s="6765"/>
      <c r="AU38" s="6765"/>
      <c r="AV38" s="6765"/>
      <c r="AW38" s="6765"/>
      <c r="AX38" s="2077"/>
      <c r="AY38" s="6765">
        <f>IF(TITLE_DATE_PR_CHANGE="",IF(TITLE_DATE_PR="","",TITLE_DATE_PR),TITLE_DATE_PR_CHANGE)</f>
        <v>45280.426180555558</v>
      </c>
      <c r="AZ38" s="6765"/>
      <c r="BA38" s="6765"/>
      <c r="BB38" s="6765"/>
      <c r="BC38" s="6765"/>
      <c r="BD38" s="6765"/>
      <c r="BE38" s="6765"/>
      <c r="BF38" s="6765"/>
      <c r="BG38" s="2077"/>
      <c r="BH38" s="6765">
        <f>IF(TITLE_DATE_PR_CHANGE="",IF(TITLE_DATE_PR="","",TITLE_DATE_PR),TITLE_DATE_PR_CHANGE)</f>
        <v>45280.426180555558</v>
      </c>
      <c r="BI38" s="6765"/>
      <c r="BJ38" s="6765"/>
      <c r="BK38" s="6765"/>
      <c r="BL38" s="6765"/>
      <c r="BM38" s="6765"/>
      <c r="BN38" s="6765"/>
      <c r="BO38" s="6765"/>
      <c r="BP38" s="2077"/>
      <c r="BQ38" s="6765">
        <f>IF(TITLE_DATE_PR_CHANGE="",IF(TITLE_DATE_PR="","",TITLE_DATE_PR),TITLE_DATE_PR_CHANGE)</f>
        <v>45280.426180555558</v>
      </c>
      <c r="BR38" s="6765"/>
      <c r="BS38" s="6765"/>
      <c r="BT38" s="6765"/>
      <c r="BU38" s="6765"/>
      <c r="BV38" s="6765"/>
      <c r="BW38" s="6765"/>
      <c r="BX38" s="6765"/>
      <c r="BY38" s="2077"/>
      <c r="BZ38" s="6765">
        <f>IF(TITLE_DATE_PR_CHANGE="",IF(TITLE_DATE_PR="","",TITLE_DATE_PR),TITLE_DATE_PR_CHANGE)</f>
        <v>45280.426180555558</v>
      </c>
      <c r="CA38" s="6765"/>
      <c r="CB38" s="6765"/>
      <c r="CC38" s="6765"/>
      <c r="CD38" s="6765"/>
      <c r="CE38" s="6765"/>
      <c r="CF38" s="6765"/>
      <c r="CG38" s="6765"/>
      <c r="CH38" s="2077"/>
      <c r="CI38" s="253"/>
      <c r="CJ38" s="200"/>
      <c r="CK38" s="296"/>
      <c r="CL38" s="296"/>
      <c r="CM38" s="296"/>
      <c r="CN38" s="296"/>
      <c r="CO38" s="296"/>
    </row>
    <row r="39" spans="1:93" s="2072" customFormat="1" ht="18.75" hidden="1" customHeight="1">
      <c r="A39" s="1158"/>
      <c r="B39" s="1158"/>
      <c r="C39" s="1158"/>
      <c r="D39" s="1158"/>
      <c r="E39" s="1158"/>
      <c r="F39" s="1158"/>
      <c r="G39" s="1158"/>
      <c r="H39" s="1158"/>
      <c r="I39" s="1158"/>
      <c r="J39" s="1158"/>
      <c r="K39" s="1158"/>
      <c r="L39" s="1158"/>
      <c r="M39" s="1296"/>
      <c r="N39" s="1158"/>
      <c r="O39" s="1158"/>
      <c r="P39" s="1158"/>
      <c r="U39" s="6755" t="s">
        <v>543</v>
      </c>
      <c r="V39" s="6755"/>
      <c r="W39" s="1288"/>
      <c r="X39" s="6756" t="str">
        <f>IF(TITLE_NUMBER_PR_CHANGE="",IF(TITLE_NUMBER_PR="","",TITLE_NUMBER_PR),TITLE_NUMBER_PR_CHANGE)</f>
        <v>124 т, 125 т, 126 т, 169 т</v>
      </c>
      <c r="Y39" s="6756"/>
      <c r="Z39" s="6756"/>
      <c r="AA39" s="6756"/>
      <c r="AB39" s="6756"/>
      <c r="AC39" s="6756"/>
      <c r="AD39" s="6756"/>
      <c r="AE39" s="6756"/>
      <c r="AF39" s="253"/>
      <c r="AG39" s="6756" t="str">
        <f>IF(TITLE_NUMBER_PR_CHANGE="",IF(TITLE_NUMBER_PR="","",TITLE_NUMBER_PR),TITLE_NUMBER_PR_CHANGE)</f>
        <v>124 т, 125 т, 126 т, 169 т</v>
      </c>
      <c r="AH39" s="6756"/>
      <c r="AI39" s="6756"/>
      <c r="AJ39" s="6756"/>
      <c r="AK39" s="6756"/>
      <c r="AL39" s="6756"/>
      <c r="AM39" s="6756"/>
      <c r="AN39" s="6756"/>
      <c r="AO39" s="253"/>
      <c r="AP39" s="6756" t="str">
        <f>IF(TITLE_NUMBER_PR_CHANGE="",IF(TITLE_NUMBER_PR="","",TITLE_NUMBER_PR),TITLE_NUMBER_PR_CHANGE)</f>
        <v>124 т, 125 т, 126 т, 169 т</v>
      </c>
      <c r="AQ39" s="6756"/>
      <c r="AR39" s="6756"/>
      <c r="AS39" s="6756"/>
      <c r="AT39" s="6756"/>
      <c r="AU39" s="6756"/>
      <c r="AV39" s="6756"/>
      <c r="AW39" s="6756"/>
      <c r="AX39" s="2077"/>
      <c r="AY39" s="6756" t="str">
        <f>IF(TITLE_NUMBER_PR_CHANGE="",IF(TITLE_NUMBER_PR="","",TITLE_NUMBER_PR),TITLE_NUMBER_PR_CHANGE)</f>
        <v>124 т, 125 т, 126 т, 169 т</v>
      </c>
      <c r="AZ39" s="6756"/>
      <c r="BA39" s="6756"/>
      <c r="BB39" s="6756"/>
      <c r="BC39" s="6756"/>
      <c r="BD39" s="6756"/>
      <c r="BE39" s="6756"/>
      <c r="BF39" s="6756"/>
      <c r="BG39" s="2077"/>
      <c r="BH39" s="6756" t="str">
        <f>IF(TITLE_NUMBER_PR_CHANGE="",IF(TITLE_NUMBER_PR="","",TITLE_NUMBER_PR),TITLE_NUMBER_PR_CHANGE)</f>
        <v>124 т, 125 т, 126 т, 169 т</v>
      </c>
      <c r="BI39" s="6756"/>
      <c r="BJ39" s="6756"/>
      <c r="BK39" s="6756"/>
      <c r="BL39" s="6756"/>
      <c r="BM39" s="6756"/>
      <c r="BN39" s="6756"/>
      <c r="BO39" s="6756"/>
      <c r="BP39" s="2077"/>
      <c r="BQ39" s="6756" t="str">
        <f>IF(TITLE_NUMBER_PR_CHANGE="",IF(TITLE_NUMBER_PR="","",TITLE_NUMBER_PR),TITLE_NUMBER_PR_CHANGE)</f>
        <v>124 т, 125 т, 126 т, 169 т</v>
      </c>
      <c r="BR39" s="6756"/>
      <c r="BS39" s="6756"/>
      <c r="BT39" s="6756"/>
      <c r="BU39" s="6756"/>
      <c r="BV39" s="6756"/>
      <c r="BW39" s="6756"/>
      <c r="BX39" s="6756"/>
      <c r="BY39" s="2077"/>
      <c r="BZ39" s="6756" t="str">
        <f>IF(TITLE_NUMBER_PR_CHANGE="",IF(TITLE_NUMBER_PR="","",TITLE_NUMBER_PR),TITLE_NUMBER_PR_CHANGE)</f>
        <v>124 т, 125 т, 126 т, 169 т</v>
      </c>
      <c r="CA39" s="6756"/>
      <c r="CB39" s="6756"/>
      <c r="CC39" s="6756"/>
      <c r="CD39" s="6756"/>
      <c r="CE39" s="6756"/>
      <c r="CF39" s="6756"/>
      <c r="CG39" s="6756"/>
      <c r="CH39" s="2077"/>
      <c r="CI39" s="253"/>
      <c r="CJ39" s="200"/>
      <c r="CK39" s="296"/>
      <c r="CL39" s="296"/>
      <c r="CM39" s="296"/>
      <c r="CN39" s="296"/>
      <c r="CO39" s="296"/>
    </row>
    <row r="40" spans="1:93" s="2072"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544</v>
      </c>
      <c r="AG40" s="253"/>
      <c r="AH40" s="253"/>
      <c r="AI40" s="253"/>
      <c r="AJ40" s="253"/>
      <c r="AK40" s="253"/>
      <c r="AL40" s="253"/>
      <c r="AM40" s="253"/>
      <c r="AN40" s="253"/>
      <c r="AO40" s="198" t="s">
        <v>544</v>
      </c>
      <c r="AP40" s="2077"/>
      <c r="AQ40" s="2077"/>
      <c r="AR40" s="2077"/>
      <c r="AS40" s="2077"/>
      <c r="AT40" s="2077"/>
      <c r="AU40" s="2077"/>
      <c r="AV40" s="2077"/>
      <c r="AW40" s="2077"/>
      <c r="AX40" s="2211" t="s">
        <v>544</v>
      </c>
      <c r="AY40" s="2077"/>
      <c r="AZ40" s="2077"/>
      <c r="BA40" s="2077"/>
      <c r="BB40" s="2077"/>
      <c r="BC40" s="2077"/>
      <c r="BD40" s="2077"/>
      <c r="BE40" s="2077"/>
      <c r="BF40" s="2077"/>
      <c r="BG40" s="2211" t="s">
        <v>544</v>
      </c>
      <c r="BH40" s="2077"/>
      <c r="BI40" s="2077"/>
      <c r="BJ40" s="2077"/>
      <c r="BK40" s="2077"/>
      <c r="BL40" s="2077"/>
      <c r="BM40" s="2077"/>
      <c r="BN40" s="2077"/>
      <c r="BO40" s="2077"/>
      <c r="BP40" s="2211" t="s">
        <v>544</v>
      </c>
      <c r="BQ40" s="2077"/>
      <c r="BR40" s="2077"/>
      <c r="BS40" s="2077"/>
      <c r="BT40" s="2077"/>
      <c r="BU40" s="2077"/>
      <c r="BV40" s="2077"/>
      <c r="BW40" s="2077"/>
      <c r="BX40" s="2077"/>
      <c r="BY40" s="2211" t="s">
        <v>544</v>
      </c>
      <c r="BZ40" s="2077"/>
      <c r="CA40" s="2077"/>
      <c r="CB40" s="2077"/>
      <c r="CC40" s="2077"/>
      <c r="CD40" s="2077"/>
      <c r="CE40" s="2077"/>
      <c r="CF40" s="2077"/>
      <c r="CG40" s="2077"/>
      <c r="CH40" s="2211" t="s">
        <v>544</v>
      </c>
      <c r="CK40" s="296"/>
      <c r="CL40" s="296"/>
      <c r="CM40" s="296"/>
      <c r="CN40" s="296"/>
      <c r="CO40" s="296"/>
    </row>
    <row r="41" spans="1:93" ht="14.25" customHeight="1">
      <c r="R41" s="305"/>
      <c r="S41" s="305"/>
      <c r="T41" s="305"/>
      <c r="U41" s="1195"/>
      <c r="V41" s="290"/>
      <c r="W41" s="1153"/>
      <c r="X41" s="6757"/>
      <c r="Y41" s="6757"/>
      <c r="Z41" s="6757"/>
      <c r="AA41" s="6757"/>
      <c r="AB41" s="6757"/>
      <c r="AC41" s="6757"/>
      <c r="AD41" s="6757"/>
      <c r="AE41" s="6757"/>
      <c r="AF41" s="6757"/>
      <c r="AG41" s="6757"/>
      <c r="AH41" s="6757"/>
      <c r="AI41" s="6757"/>
      <c r="AJ41" s="6757"/>
      <c r="AK41" s="6757"/>
      <c r="AL41" s="6757"/>
      <c r="AM41" s="6757"/>
      <c r="AN41" s="6757"/>
      <c r="AO41" s="6757"/>
      <c r="AP41" s="6757" t="s">
        <v>102</v>
      </c>
      <c r="AQ41" s="6757"/>
      <c r="AR41" s="6757"/>
      <c r="AS41" s="6757"/>
      <c r="AT41" s="6757"/>
      <c r="AU41" s="6757"/>
      <c r="AV41" s="6757"/>
      <c r="AW41" s="6757"/>
      <c r="AX41" s="6757"/>
      <c r="AY41" s="6757" t="s">
        <v>102</v>
      </c>
      <c r="AZ41" s="6757"/>
      <c r="BA41" s="6757"/>
      <c r="BB41" s="6757"/>
      <c r="BC41" s="6757"/>
      <c r="BD41" s="6757"/>
      <c r="BE41" s="6757"/>
      <c r="BF41" s="6757"/>
      <c r="BG41" s="6757"/>
      <c r="BH41" s="6757" t="s">
        <v>102</v>
      </c>
      <c r="BI41" s="6757"/>
      <c r="BJ41" s="6757"/>
      <c r="BK41" s="6757"/>
      <c r="BL41" s="6757"/>
      <c r="BM41" s="6757"/>
      <c r="BN41" s="6757"/>
      <c r="BO41" s="6757"/>
      <c r="BP41" s="6757"/>
      <c r="BQ41" s="6757" t="s">
        <v>102</v>
      </c>
      <c r="BR41" s="6757"/>
      <c r="BS41" s="6757"/>
      <c r="BT41" s="6757"/>
      <c r="BU41" s="6757"/>
      <c r="BV41" s="6757"/>
      <c r="BW41" s="6757"/>
      <c r="BX41" s="6757"/>
      <c r="BY41" s="6757"/>
      <c r="BZ41" s="6757" t="s">
        <v>102</v>
      </c>
      <c r="CA41" s="6757"/>
      <c r="CB41" s="6757"/>
      <c r="CC41" s="6757"/>
      <c r="CD41" s="6757"/>
      <c r="CE41" s="6757"/>
      <c r="CF41" s="6757"/>
      <c r="CG41" s="6757"/>
      <c r="CH41" s="6757"/>
    </row>
    <row r="42" spans="1:93" ht="14.25" customHeight="1">
      <c r="R42" s="305"/>
      <c r="S42" s="305"/>
      <c r="T42" s="305"/>
      <c r="U42" s="6629" t="s">
        <v>418</v>
      </c>
      <c r="V42" s="6629"/>
      <c r="W42" s="6629"/>
      <c r="X42" s="6629"/>
      <c r="Y42" s="6629"/>
      <c r="Z42" s="6629"/>
      <c r="AA42" s="6629"/>
      <c r="AB42" s="6629"/>
      <c r="AC42" s="6629"/>
      <c r="AD42" s="6629"/>
      <c r="AE42" s="6629"/>
      <c r="AF42" s="6629"/>
      <c r="AG42" s="6629"/>
      <c r="AH42" s="6629"/>
      <c r="AI42" s="6629"/>
      <c r="AJ42" s="6629"/>
      <c r="AK42" s="6629"/>
      <c r="AL42" s="6629"/>
      <c r="AM42" s="6629"/>
      <c r="AN42" s="6629"/>
      <c r="AO42" s="6629"/>
      <c r="AP42" s="6629" t="s">
        <v>418</v>
      </c>
      <c r="AQ42" s="6629"/>
      <c r="AR42" s="6629"/>
      <c r="AS42" s="6629"/>
      <c r="AT42" s="6629"/>
      <c r="AU42" s="6629"/>
      <c r="AV42" s="6629"/>
      <c r="AW42" s="6629"/>
      <c r="AX42" s="6629"/>
      <c r="AY42" s="6629" t="s">
        <v>418</v>
      </c>
      <c r="AZ42" s="6629"/>
      <c r="BA42" s="6629"/>
      <c r="BB42" s="6629"/>
      <c r="BC42" s="6629"/>
      <c r="BD42" s="6629"/>
      <c r="BE42" s="6629"/>
      <c r="BF42" s="6629"/>
      <c r="BG42" s="6629"/>
      <c r="BH42" s="6629" t="s">
        <v>418</v>
      </c>
      <c r="BI42" s="6629"/>
      <c r="BJ42" s="6629"/>
      <c r="BK42" s="6629"/>
      <c r="BL42" s="6629"/>
      <c r="BM42" s="6629"/>
      <c r="BN42" s="6629"/>
      <c r="BO42" s="6629"/>
      <c r="BP42" s="6629"/>
      <c r="BQ42" s="6629" t="s">
        <v>418</v>
      </c>
      <c r="BR42" s="6629"/>
      <c r="BS42" s="6629"/>
      <c r="BT42" s="6629"/>
      <c r="BU42" s="6629"/>
      <c r="BV42" s="6629"/>
      <c r="BW42" s="6629"/>
      <c r="BX42" s="6629"/>
      <c r="BY42" s="6629"/>
      <c r="BZ42" s="6629" t="s">
        <v>418</v>
      </c>
      <c r="CA42" s="6629"/>
      <c r="CB42" s="6629"/>
      <c r="CC42" s="6629"/>
      <c r="CD42" s="6629"/>
      <c r="CE42" s="6629"/>
      <c r="CF42" s="6629"/>
      <c r="CG42" s="6629"/>
      <c r="CH42" s="6629"/>
      <c r="CI42" s="6629"/>
      <c r="CJ42" s="6629"/>
    </row>
    <row r="43" spans="1:93" ht="14.25" customHeight="1">
      <c r="R43" s="305"/>
      <c r="S43" s="305"/>
      <c r="T43" s="305"/>
      <c r="U43" s="6771" t="s">
        <v>87</v>
      </c>
      <c r="V43" s="6723" t="s">
        <v>545</v>
      </c>
      <c r="W43" s="220"/>
      <c r="X43" s="6772" t="s">
        <v>546</v>
      </c>
      <c r="Y43" s="6787"/>
      <c r="Z43" s="6787"/>
      <c r="AA43" s="6787"/>
      <c r="AB43" s="6787"/>
      <c r="AC43" s="6773"/>
      <c r="AD43" s="6773"/>
      <c r="AE43" s="6774"/>
      <c r="AF43" s="6775" t="s">
        <v>547</v>
      </c>
      <c r="AG43" s="6772" t="s">
        <v>546</v>
      </c>
      <c r="AH43" s="6787"/>
      <c r="AI43" s="6787"/>
      <c r="AJ43" s="6787"/>
      <c r="AK43" s="6787"/>
      <c r="AL43" s="6773"/>
      <c r="AM43" s="6773"/>
      <c r="AN43" s="6774"/>
      <c r="AO43" s="6775" t="s">
        <v>548</v>
      </c>
      <c r="AP43" s="6772" t="s">
        <v>546</v>
      </c>
      <c r="AQ43" s="6787"/>
      <c r="AR43" s="6787"/>
      <c r="AS43" s="6787"/>
      <c r="AT43" s="6787"/>
      <c r="AU43" s="6773"/>
      <c r="AV43" s="6773"/>
      <c r="AW43" s="6774"/>
      <c r="AX43" s="6775" t="s">
        <v>547</v>
      </c>
      <c r="AY43" s="6772" t="s">
        <v>546</v>
      </c>
      <c r="AZ43" s="6787"/>
      <c r="BA43" s="6787"/>
      <c r="BB43" s="6787"/>
      <c r="BC43" s="6787"/>
      <c r="BD43" s="6773"/>
      <c r="BE43" s="6773"/>
      <c r="BF43" s="6774"/>
      <c r="BG43" s="6775" t="s">
        <v>547</v>
      </c>
      <c r="BH43" s="6772" t="s">
        <v>546</v>
      </c>
      <c r="BI43" s="6787"/>
      <c r="BJ43" s="6787"/>
      <c r="BK43" s="6787"/>
      <c r="BL43" s="6787"/>
      <c r="BM43" s="6773"/>
      <c r="BN43" s="6773"/>
      <c r="BO43" s="6774"/>
      <c r="BP43" s="6775" t="s">
        <v>547</v>
      </c>
      <c r="BQ43" s="6772" t="s">
        <v>546</v>
      </c>
      <c r="BR43" s="6787"/>
      <c r="BS43" s="6787"/>
      <c r="BT43" s="6787"/>
      <c r="BU43" s="6787"/>
      <c r="BV43" s="6773"/>
      <c r="BW43" s="6773"/>
      <c r="BX43" s="6774"/>
      <c r="BY43" s="6775" t="s">
        <v>547</v>
      </c>
      <c r="BZ43" s="6772" t="s">
        <v>546</v>
      </c>
      <c r="CA43" s="6787"/>
      <c r="CB43" s="6787"/>
      <c r="CC43" s="6787"/>
      <c r="CD43" s="6787"/>
      <c r="CE43" s="6773"/>
      <c r="CF43" s="6773"/>
      <c r="CG43" s="6774"/>
      <c r="CH43" s="6775" t="s">
        <v>547</v>
      </c>
      <c r="CI43" s="6778" t="s">
        <v>549</v>
      </c>
      <c r="CJ43" s="6629"/>
    </row>
    <row r="44" spans="1:93" ht="33.75" customHeight="1">
      <c r="R44" s="305"/>
      <c r="S44" s="305"/>
      <c r="T44" s="305"/>
      <c r="U44" s="6771"/>
      <c r="V44" s="6723"/>
      <c r="W44" s="938"/>
      <c r="X44" s="6708" t="s">
        <v>573</v>
      </c>
      <c r="Y44" s="6629" t="s">
        <v>574</v>
      </c>
      <c r="Z44" s="6629"/>
      <c r="AA44" s="6629"/>
      <c r="AB44" s="6629"/>
      <c r="AC44" s="6708" t="s">
        <v>553</v>
      </c>
      <c r="AD44" s="6796"/>
      <c r="AE44" s="6709"/>
      <c r="AF44" s="6776"/>
      <c r="AG44" s="6708" t="s">
        <v>573</v>
      </c>
      <c r="AH44" s="6629" t="s">
        <v>574</v>
      </c>
      <c r="AI44" s="6629"/>
      <c r="AJ44" s="6629"/>
      <c r="AK44" s="6629"/>
      <c r="AL44" s="6708" t="s">
        <v>553</v>
      </c>
      <c r="AM44" s="6796"/>
      <c r="AN44" s="6709"/>
      <c r="AO44" s="6776"/>
      <c r="AP44" s="6708" t="s">
        <v>573</v>
      </c>
      <c r="AQ44" s="6629" t="s">
        <v>574</v>
      </c>
      <c r="AR44" s="6629"/>
      <c r="AS44" s="6629"/>
      <c r="AT44" s="6629"/>
      <c r="AU44" s="6708" t="s">
        <v>553</v>
      </c>
      <c r="AV44" s="6796"/>
      <c r="AW44" s="6709"/>
      <c r="AX44" s="6776"/>
      <c r="AY44" s="6708" t="s">
        <v>573</v>
      </c>
      <c r="AZ44" s="6629" t="s">
        <v>574</v>
      </c>
      <c r="BA44" s="6629"/>
      <c r="BB44" s="6629"/>
      <c r="BC44" s="6629"/>
      <c r="BD44" s="6708" t="s">
        <v>553</v>
      </c>
      <c r="BE44" s="6796"/>
      <c r="BF44" s="6709"/>
      <c r="BG44" s="6776"/>
      <c r="BH44" s="6708" t="s">
        <v>573</v>
      </c>
      <c r="BI44" s="6629" t="s">
        <v>574</v>
      </c>
      <c r="BJ44" s="6629"/>
      <c r="BK44" s="6629"/>
      <c r="BL44" s="6629"/>
      <c r="BM44" s="6708" t="s">
        <v>553</v>
      </c>
      <c r="BN44" s="6796"/>
      <c r="BO44" s="6709"/>
      <c r="BP44" s="6776"/>
      <c r="BQ44" s="6708" t="s">
        <v>573</v>
      </c>
      <c r="BR44" s="6629" t="s">
        <v>574</v>
      </c>
      <c r="BS44" s="6629"/>
      <c r="BT44" s="6629"/>
      <c r="BU44" s="6629"/>
      <c r="BV44" s="6708" t="s">
        <v>553</v>
      </c>
      <c r="BW44" s="6796"/>
      <c r="BX44" s="6709"/>
      <c r="BY44" s="6776"/>
      <c r="BZ44" s="6708" t="s">
        <v>573</v>
      </c>
      <c r="CA44" s="6629" t="s">
        <v>574</v>
      </c>
      <c r="CB44" s="6629"/>
      <c r="CC44" s="6629"/>
      <c r="CD44" s="6629"/>
      <c r="CE44" s="6708" t="s">
        <v>553</v>
      </c>
      <c r="CF44" s="6796"/>
      <c r="CG44" s="6709"/>
      <c r="CH44" s="6776"/>
      <c r="CI44" s="6779"/>
      <c r="CJ44" s="6629"/>
    </row>
    <row r="45" spans="1:93" ht="14.25" customHeight="1">
      <c r="R45" s="305"/>
      <c r="S45" s="305"/>
      <c r="T45" s="305"/>
      <c r="U45" s="6771"/>
      <c r="V45" s="6723"/>
      <c r="W45" s="938"/>
      <c r="X45" s="6710"/>
      <c r="Y45" s="6736" t="s">
        <v>575</v>
      </c>
      <c r="Z45" s="6731" t="s">
        <v>576</v>
      </c>
      <c r="AA45" s="6732"/>
      <c r="AB45" s="6733"/>
      <c r="AC45" s="6713"/>
      <c r="AD45" s="6797"/>
      <c r="AE45" s="6714"/>
      <c r="AF45" s="6776"/>
      <c r="AG45" s="6710"/>
      <c r="AH45" s="6736" t="s">
        <v>575</v>
      </c>
      <c r="AI45" s="6731" t="s">
        <v>576</v>
      </c>
      <c r="AJ45" s="6732"/>
      <c r="AK45" s="6733"/>
      <c r="AL45" s="6713"/>
      <c r="AM45" s="6797"/>
      <c r="AN45" s="6714"/>
      <c r="AO45" s="6776"/>
      <c r="AP45" s="6710"/>
      <c r="AQ45" s="6736" t="s">
        <v>575</v>
      </c>
      <c r="AR45" s="6731" t="s">
        <v>576</v>
      </c>
      <c r="AS45" s="6732"/>
      <c r="AT45" s="6733"/>
      <c r="AU45" s="6713"/>
      <c r="AV45" s="6797"/>
      <c r="AW45" s="6714"/>
      <c r="AX45" s="6776"/>
      <c r="AY45" s="6710"/>
      <c r="AZ45" s="6736" t="s">
        <v>575</v>
      </c>
      <c r="BA45" s="6731" t="s">
        <v>576</v>
      </c>
      <c r="BB45" s="6732"/>
      <c r="BC45" s="6733"/>
      <c r="BD45" s="6713"/>
      <c r="BE45" s="6797"/>
      <c r="BF45" s="6714"/>
      <c r="BG45" s="6776"/>
      <c r="BH45" s="6710"/>
      <c r="BI45" s="6736" t="s">
        <v>575</v>
      </c>
      <c r="BJ45" s="6731" t="s">
        <v>576</v>
      </c>
      <c r="BK45" s="6732"/>
      <c r="BL45" s="6733"/>
      <c r="BM45" s="6713"/>
      <c r="BN45" s="6797"/>
      <c r="BO45" s="6714"/>
      <c r="BP45" s="6776"/>
      <c r="BQ45" s="6710"/>
      <c r="BR45" s="6736" t="s">
        <v>575</v>
      </c>
      <c r="BS45" s="6731" t="s">
        <v>576</v>
      </c>
      <c r="BT45" s="6732"/>
      <c r="BU45" s="6733"/>
      <c r="BV45" s="6713"/>
      <c r="BW45" s="6797"/>
      <c r="BX45" s="6714"/>
      <c r="BY45" s="6776"/>
      <c r="BZ45" s="6710"/>
      <c r="CA45" s="6736" t="s">
        <v>575</v>
      </c>
      <c r="CB45" s="6731" t="s">
        <v>576</v>
      </c>
      <c r="CC45" s="6732"/>
      <c r="CD45" s="6733"/>
      <c r="CE45" s="6713"/>
      <c r="CF45" s="6797"/>
      <c r="CG45" s="6714"/>
      <c r="CH45" s="6776"/>
      <c r="CI45" s="6779"/>
      <c r="CJ45" s="6629"/>
    </row>
    <row r="46" spans="1:93" ht="25.5" customHeight="1">
      <c r="R46" s="305"/>
      <c r="S46" s="305"/>
      <c r="T46" s="305"/>
      <c r="U46" s="6771"/>
      <c r="V46" s="6723"/>
      <c r="W46" s="938"/>
      <c r="X46" s="6710"/>
      <c r="Y46" s="6798"/>
      <c r="Z46" s="6736" t="s">
        <v>577</v>
      </c>
      <c r="AA46" s="6731" t="s">
        <v>578</v>
      </c>
      <c r="AB46" s="6733"/>
      <c r="AC46" s="6736" t="s">
        <v>563</v>
      </c>
      <c r="AD46" s="6738" t="s">
        <v>564</v>
      </c>
      <c r="AE46" s="6740"/>
      <c r="AF46" s="6776"/>
      <c r="AG46" s="6710"/>
      <c r="AH46" s="6798"/>
      <c r="AI46" s="6736" t="s">
        <v>577</v>
      </c>
      <c r="AJ46" s="6731" t="s">
        <v>578</v>
      </c>
      <c r="AK46" s="6733"/>
      <c r="AL46" s="6736" t="s">
        <v>563</v>
      </c>
      <c r="AM46" s="6738" t="s">
        <v>564</v>
      </c>
      <c r="AN46" s="6740"/>
      <c r="AO46" s="6776"/>
      <c r="AP46" s="6710"/>
      <c r="AQ46" s="6798"/>
      <c r="AR46" s="6736" t="s">
        <v>577</v>
      </c>
      <c r="AS46" s="6731" t="s">
        <v>578</v>
      </c>
      <c r="AT46" s="6733"/>
      <c r="AU46" s="6736" t="s">
        <v>563</v>
      </c>
      <c r="AV46" s="6738" t="s">
        <v>564</v>
      </c>
      <c r="AW46" s="6740"/>
      <c r="AX46" s="6776"/>
      <c r="AY46" s="6710"/>
      <c r="AZ46" s="6798"/>
      <c r="BA46" s="6736" t="s">
        <v>577</v>
      </c>
      <c r="BB46" s="6731" t="s">
        <v>578</v>
      </c>
      <c r="BC46" s="6733"/>
      <c r="BD46" s="6736" t="s">
        <v>563</v>
      </c>
      <c r="BE46" s="6738" t="s">
        <v>564</v>
      </c>
      <c r="BF46" s="6740"/>
      <c r="BG46" s="6776"/>
      <c r="BH46" s="6710"/>
      <c r="BI46" s="6798"/>
      <c r="BJ46" s="6736" t="s">
        <v>577</v>
      </c>
      <c r="BK46" s="6731" t="s">
        <v>578</v>
      </c>
      <c r="BL46" s="6733"/>
      <c r="BM46" s="6736" t="s">
        <v>563</v>
      </c>
      <c r="BN46" s="6738" t="s">
        <v>564</v>
      </c>
      <c r="BO46" s="6740"/>
      <c r="BP46" s="6776"/>
      <c r="BQ46" s="6710"/>
      <c r="BR46" s="6798"/>
      <c r="BS46" s="6736" t="s">
        <v>577</v>
      </c>
      <c r="BT46" s="6731" t="s">
        <v>578</v>
      </c>
      <c r="BU46" s="6733"/>
      <c r="BV46" s="6736" t="s">
        <v>563</v>
      </c>
      <c r="BW46" s="6738" t="s">
        <v>564</v>
      </c>
      <c r="BX46" s="6740"/>
      <c r="BY46" s="6776"/>
      <c r="BZ46" s="6710"/>
      <c r="CA46" s="6798"/>
      <c r="CB46" s="6736" t="s">
        <v>577</v>
      </c>
      <c r="CC46" s="6731" t="s">
        <v>578</v>
      </c>
      <c r="CD46" s="6733"/>
      <c r="CE46" s="6736" t="s">
        <v>563</v>
      </c>
      <c r="CF46" s="6738" t="s">
        <v>564</v>
      </c>
      <c r="CG46" s="6740"/>
      <c r="CH46" s="6776"/>
      <c r="CI46" s="6779"/>
      <c r="CJ46" s="6629"/>
    </row>
    <row r="47" spans="1:93" ht="62.25" customHeight="1">
      <c r="A47" s="1179"/>
      <c r="B47" s="1179" t="s">
        <v>201</v>
      </c>
      <c r="C47" s="1179" t="s">
        <v>202</v>
      </c>
      <c r="D47" s="1179" t="s">
        <v>203</v>
      </c>
      <c r="E47" s="1228" t="s">
        <v>554</v>
      </c>
      <c r="F47" s="1228" t="s">
        <v>555</v>
      </c>
      <c r="G47" s="1228" t="s">
        <v>556</v>
      </c>
      <c r="H47" s="1228" t="s">
        <v>557</v>
      </c>
      <c r="I47" s="1228" t="s">
        <v>558</v>
      </c>
      <c r="J47" s="1228" t="s">
        <v>559</v>
      </c>
      <c r="K47" s="1228" t="s">
        <v>560</v>
      </c>
      <c r="L47" s="1228" t="s">
        <v>579</v>
      </c>
      <c r="M47" s="1228" t="s">
        <v>535</v>
      </c>
      <c r="R47" s="305"/>
      <c r="S47" s="305"/>
      <c r="T47" s="305"/>
      <c r="U47" s="6771"/>
      <c r="V47" s="6723"/>
      <c r="W47" s="221"/>
      <c r="X47" s="6713"/>
      <c r="Y47" s="6737"/>
      <c r="Z47" s="6737"/>
      <c r="AA47" s="1128" t="s">
        <v>580</v>
      </c>
      <c r="AB47" s="1128" t="s">
        <v>581</v>
      </c>
      <c r="AC47" s="6737"/>
      <c r="AD47" s="6739"/>
      <c r="AE47" s="6741"/>
      <c r="AF47" s="6777"/>
      <c r="AG47" s="6713"/>
      <c r="AH47" s="6737"/>
      <c r="AI47" s="6737"/>
      <c r="AJ47" s="1128" t="s">
        <v>580</v>
      </c>
      <c r="AK47" s="1128" t="s">
        <v>581</v>
      </c>
      <c r="AL47" s="6737"/>
      <c r="AM47" s="6739"/>
      <c r="AN47" s="6741"/>
      <c r="AO47" s="6777"/>
      <c r="AP47" s="6713"/>
      <c r="AQ47" s="6737"/>
      <c r="AR47" s="6737"/>
      <c r="AS47" s="2212" t="s">
        <v>580</v>
      </c>
      <c r="AT47" s="2212" t="s">
        <v>581</v>
      </c>
      <c r="AU47" s="6737"/>
      <c r="AV47" s="6739"/>
      <c r="AW47" s="6741"/>
      <c r="AX47" s="6777"/>
      <c r="AY47" s="6713"/>
      <c r="AZ47" s="6737"/>
      <c r="BA47" s="6737"/>
      <c r="BB47" s="2212" t="s">
        <v>580</v>
      </c>
      <c r="BC47" s="2212" t="s">
        <v>581</v>
      </c>
      <c r="BD47" s="6737"/>
      <c r="BE47" s="6739"/>
      <c r="BF47" s="6741"/>
      <c r="BG47" s="6777"/>
      <c r="BH47" s="6713"/>
      <c r="BI47" s="6737"/>
      <c r="BJ47" s="6737"/>
      <c r="BK47" s="2212" t="s">
        <v>580</v>
      </c>
      <c r="BL47" s="2212" t="s">
        <v>581</v>
      </c>
      <c r="BM47" s="6737"/>
      <c r="BN47" s="6739"/>
      <c r="BO47" s="6741"/>
      <c r="BP47" s="6777"/>
      <c r="BQ47" s="6713"/>
      <c r="BR47" s="6737"/>
      <c r="BS47" s="6737"/>
      <c r="BT47" s="2212" t="s">
        <v>580</v>
      </c>
      <c r="BU47" s="2212" t="s">
        <v>581</v>
      </c>
      <c r="BV47" s="6737"/>
      <c r="BW47" s="6739"/>
      <c r="BX47" s="6741"/>
      <c r="BY47" s="6777"/>
      <c r="BZ47" s="6713"/>
      <c r="CA47" s="6737"/>
      <c r="CB47" s="6737"/>
      <c r="CC47" s="2212" t="s">
        <v>580</v>
      </c>
      <c r="CD47" s="2212" t="s">
        <v>581</v>
      </c>
      <c r="CE47" s="6737"/>
      <c r="CF47" s="6739"/>
      <c r="CG47" s="6741"/>
      <c r="CH47" s="6777"/>
      <c r="CI47" s="6780"/>
      <c r="CJ47" s="6629"/>
    </row>
    <row r="48" spans="1:93" s="1816"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178</v>
      </c>
      <c r="V48" s="1172" t="s">
        <v>98</v>
      </c>
      <c r="W48" s="1154" t="str">
        <f ca="1">OFFSET(W48,0,-1)</f>
        <v>2</v>
      </c>
      <c r="X48" s="1252">
        <f ca="1">OFFSET(X48,0,-1)+1</f>
        <v>3</v>
      </c>
      <c r="Y48" s="1258"/>
      <c r="Z48" s="1258"/>
      <c r="AA48" s="1258">
        <f ca="1">OFFSET(AA48,0,-1)+1</f>
        <v>1</v>
      </c>
      <c r="AB48" s="1258">
        <f ca="1">OFFSET(AB48,0,-1)+1</f>
        <v>2</v>
      </c>
      <c r="AC48" s="1252">
        <f ca="1">OFFSET(AC48,0,-1)+1</f>
        <v>3</v>
      </c>
      <c r="AD48" s="6770">
        <f ca="1">OFFSET(AD48,0,-1)+1</f>
        <v>4</v>
      </c>
      <c r="AE48" s="6770"/>
      <c r="AF48" s="1252">
        <f ca="1">OFFSET(AF48,0,-2)+1</f>
        <v>5</v>
      </c>
      <c r="AG48" s="1252">
        <f ca="1">OFFSET(AG48,0,-1)+1</f>
        <v>6</v>
      </c>
      <c r="AH48" s="1252"/>
      <c r="AI48" s="1252"/>
      <c r="AJ48" s="1252">
        <f ca="1">OFFSET(AJ48,0,-1)+1</f>
        <v>1</v>
      </c>
      <c r="AK48" s="1252">
        <f ca="1">OFFSET(AK48,0,-1)+1</f>
        <v>2</v>
      </c>
      <c r="AL48" s="1252">
        <f ca="1">OFFSET(AL48,0,-1)+1</f>
        <v>3</v>
      </c>
      <c r="AM48" s="6770">
        <f ca="1">OFFSET(AM48,0,-1)+1</f>
        <v>4</v>
      </c>
      <c r="AN48" s="6770"/>
      <c r="AO48" s="1252">
        <f ca="1">OFFSET(AO48,0,-2)+1</f>
        <v>5</v>
      </c>
      <c r="AP48" s="2213">
        <f ca="1">OFFSET(AP48,0,-1)+1</f>
        <v>6</v>
      </c>
      <c r="AQ48" s="5774"/>
      <c r="AR48" s="5774"/>
      <c r="AS48" s="5774">
        <f ca="1">OFFSET(AS48,0,-1)+1</f>
        <v>1</v>
      </c>
      <c r="AT48" s="5774">
        <f ca="1">OFFSET(AT48,0,-1)+1</f>
        <v>2</v>
      </c>
      <c r="AU48" s="2213">
        <f ca="1">OFFSET(AU48,0,-1)+1</f>
        <v>3</v>
      </c>
      <c r="AV48" s="6770">
        <f ca="1">OFFSET(AV48,0,-1)+1</f>
        <v>4</v>
      </c>
      <c r="AW48" s="6770"/>
      <c r="AX48" s="2213">
        <f ca="1">OFFSET(AX48,0,-2)+1</f>
        <v>5</v>
      </c>
      <c r="AY48" s="2213">
        <f ca="1">OFFSET(AY48,0,-1)+1</f>
        <v>6</v>
      </c>
      <c r="AZ48" s="5774"/>
      <c r="BA48" s="5774"/>
      <c r="BB48" s="5774">
        <f ca="1">OFFSET(BB48,0,-1)+1</f>
        <v>1</v>
      </c>
      <c r="BC48" s="5774">
        <f ca="1">OFFSET(BC48,0,-1)+1</f>
        <v>2</v>
      </c>
      <c r="BD48" s="2213">
        <f ca="1">OFFSET(BD48,0,-1)+1</f>
        <v>3</v>
      </c>
      <c r="BE48" s="6770">
        <f ca="1">OFFSET(BE48,0,-1)+1</f>
        <v>4</v>
      </c>
      <c r="BF48" s="6770"/>
      <c r="BG48" s="2213">
        <f ca="1">OFFSET(BG48,0,-2)+1</f>
        <v>5</v>
      </c>
      <c r="BH48" s="2213">
        <f ca="1">OFFSET(BH48,0,-1)+1</f>
        <v>6</v>
      </c>
      <c r="BI48" s="5774"/>
      <c r="BJ48" s="5774"/>
      <c r="BK48" s="5774">
        <f ca="1">OFFSET(BK48,0,-1)+1</f>
        <v>1</v>
      </c>
      <c r="BL48" s="5774">
        <f ca="1">OFFSET(BL48,0,-1)+1</f>
        <v>2</v>
      </c>
      <c r="BM48" s="2213">
        <f ca="1">OFFSET(BM48,0,-1)+1</f>
        <v>3</v>
      </c>
      <c r="BN48" s="6770">
        <f ca="1">OFFSET(BN48,0,-1)+1</f>
        <v>4</v>
      </c>
      <c r="BO48" s="6770"/>
      <c r="BP48" s="2213">
        <f ca="1">OFFSET(BP48,0,-2)+1</f>
        <v>5</v>
      </c>
      <c r="BQ48" s="2213">
        <f ca="1">OFFSET(BQ48,0,-1)+1</f>
        <v>6</v>
      </c>
      <c r="BR48" s="5774"/>
      <c r="BS48" s="5774"/>
      <c r="BT48" s="5774">
        <f ca="1">OFFSET(BT48,0,-1)+1</f>
        <v>1</v>
      </c>
      <c r="BU48" s="5774">
        <f ca="1">OFFSET(BU48,0,-1)+1</f>
        <v>2</v>
      </c>
      <c r="BV48" s="2213">
        <f ca="1">OFFSET(BV48,0,-1)+1</f>
        <v>3</v>
      </c>
      <c r="BW48" s="6770">
        <f ca="1">OFFSET(BW48,0,-1)+1</f>
        <v>4</v>
      </c>
      <c r="BX48" s="6770"/>
      <c r="BY48" s="2213">
        <f ca="1">OFFSET(BY48,0,-2)+1</f>
        <v>5</v>
      </c>
      <c r="BZ48" s="2213">
        <f ca="1">OFFSET(BZ48,0,-1)+1</f>
        <v>6</v>
      </c>
      <c r="CA48" s="5774"/>
      <c r="CB48" s="5774"/>
      <c r="CC48" s="5774">
        <f ca="1">OFFSET(CC48,0,-1)+1</f>
        <v>1</v>
      </c>
      <c r="CD48" s="5774">
        <f ca="1">OFFSET(CD48,0,-1)+1</f>
        <v>2</v>
      </c>
      <c r="CE48" s="2213">
        <f ca="1">OFFSET(CE48,0,-1)+1</f>
        <v>3</v>
      </c>
      <c r="CF48" s="6770">
        <f ca="1">OFFSET(CF48,0,-1)+1</f>
        <v>4</v>
      </c>
      <c r="CG48" s="6770"/>
      <c r="CH48" s="2213">
        <f ca="1">OFFSET(CH48,0,-2)+1</f>
        <v>5</v>
      </c>
      <c r="CI48" s="1154">
        <f ca="1">OFFSET(CI48,0,-1)</f>
        <v>5</v>
      </c>
      <c r="CJ48" s="1252">
        <f ca="1">OFFSET(CJ48,0,-1)+1</f>
        <v>6</v>
      </c>
      <c r="CK48" s="437"/>
      <c r="CL48" s="437"/>
      <c r="CM48" s="437"/>
      <c r="CN48" s="437"/>
      <c r="CO48" s="437"/>
    </row>
    <row r="49" spans="1:93" ht="21" customHeight="1">
      <c r="A49" s="1186" t="s">
        <v>295</v>
      </c>
      <c r="B49" s="1186"/>
      <c r="C49" s="1186"/>
      <c r="D49" s="1186"/>
      <c r="E49" s="6793">
        <v>1</v>
      </c>
      <c r="F49" s="1186"/>
      <c r="G49" s="1186"/>
      <c r="H49" s="1186"/>
      <c r="I49" s="1186"/>
      <c r="J49" s="1186"/>
      <c r="K49" s="1186"/>
      <c r="L49" s="1186"/>
      <c r="M49" s="1228"/>
      <c r="N49" s="608"/>
      <c r="O49" s="608"/>
      <c r="P49" s="608"/>
      <c r="Q49" s="286"/>
      <c r="R49" s="285"/>
      <c r="S49" s="285"/>
      <c r="T49" s="280"/>
      <c r="U49" s="1253">
        <f>INDEX(PT_DIFFERENTIATION_NUM_NTAR,MATCH(A49,PT_DIFFERENTIATION_NTAR_ID,0))</f>
        <v>1</v>
      </c>
      <c r="V49" s="217" t="s">
        <v>189</v>
      </c>
      <c r="W49" s="219"/>
      <c r="X49" s="6749"/>
      <c r="Y49" s="6750"/>
      <c r="Z49" s="6750"/>
      <c r="AA49" s="6750"/>
      <c r="AB49" s="6750"/>
      <c r="AC49" s="6750"/>
      <c r="AD49" s="6750"/>
      <c r="AE49" s="6750"/>
      <c r="AF49" s="6751"/>
      <c r="AG49" s="6749" t="str">
        <f>INDEX(PT_DIFFERENTIATION_NTAR,MATCH(A49,PT_DIFFERENTIATION_NTAR_ID,0))</f>
        <v>Тариф на горячую воду, поставляемую потребителям в открытой системе теплоснабжения (горячее водоснабжение)</v>
      </c>
      <c r="AH49" s="6750"/>
      <c r="AI49" s="6750"/>
      <c r="AJ49" s="6750"/>
      <c r="AK49" s="6750"/>
      <c r="AL49" s="6750"/>
      <c r="AM49" s="6750"/>
      <c r="AN49" s="6750"/>
      <c r="AO49" s="6750"/>
      <c r="AP49" s="6749"/>
      <c r="AQ49" s="6750"/>
      <c r="AR49" s="6750"/>
      <c r="AS49" s="6750"/>
      <c r="AT49" s="6750"/>
      <c r="AU49" s="6750"/>
      <c r="AV49" s="6750"/>
      <c r="AW49" s="6750"/>
      <c r="AX49" s="6751"/>
      <c r="AY49" s="6749"/>
      <c r="AZ49" s="6750"/>
      <c r="BA49" s="6750"/>
      <c r="BB49" s="6750"/>
      <c r="BC49" s="6750"/>
      <c r="BD49" s="6750"/>
      <c r="BE49" s="6750"/>
      <c r="BF49" s="6750"/>
      <c r="BG49" s="6751"/>
      <c r="BH49" s="6749"/>
      <c r="BI49" s="6750"/>
      <c r="BJ49" s="6750"/>
      <c r="BK49" s="6750"/>
      <c r="BL49" s="6750"/>
      <c r="BM49" s="6750"/>
      <c r="BN49" s="6750"/>
      <c r="BO49" s="6750"/>
      <c r="BP49" s="6751"/>
      <c r="BQ49" s="6749"/>
      <c r="BR49" s="6750"/>
      <c r="BS49" s="6750"/>
      <c r="BT49" s="6750"/>
      <c r="BU49" s="6750"/>
      <c r="BV49" s="6750"/>
      <c r="BW49" s="6750"/>
      <c r="BX49" s="6750"/>
      <c r="BY49" s="6751"/>
      <c r="BZ49" s="6749"/>
      <c r="CA49" s="6750"/>
      <c r="CB49" s="6750"/>
      <c r="CC49" s="6750"/>
      <c r="CD49" s="6750"/>
      <c r="CE49" s="6750"/>
      <c r="CF49" s="6750"/>
      <c r="CG49" s="6750"/>
      <c r="CH49" s="6751"/>
      <c r="CI49" s="6751"/>
      <c r="CJ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CL49" s="426"/>
      <c r="CM49" s="426" t="str">
        <f t="shared" ref="CM49:CM69" si="2">IF(V49="","",V49)</f>
        <v>Наименование тарифа</v>
      </c>
      <c r="CN49" s="426"/>
      <c r="CO49" s="426"/>
    </row>
    <row r="50" spans="1:93" ht="21" customHeight="1">
      <c r="A50" s="1186" t="s">
        <v>295</v>
      </c>
      <c r="B50" s="1186" t="s">
        <v>296</v>
      </c>
      <c r="C50" s="1186"/>
      <c r="D50" s="1186"/>
      <c r="E50" s="6794"/>
      <c r="F50" s="6793">
        <v>1</v>
      </c>
      <c r="G50" s="1186"/>
      <c r="H50" s="1186"/>
      <c r="I50" s="1186"/>
      <c r="J50" s="1186"/>
      <c r="K50" s="1186"/>
      <c r="L50" s="1186"/>
      <c r="M50" s="1228"/>
      <c r="N50" s="608"/>
      <c r="O50" s="608"/>
      <c r="P50" s="608"/>
      <c r="Q50" s="1249"/>
      <c r="R50" s="277"/>
      <c r="S50" s="435"/>
      <c r="T50" s="278"/>
      <c r="U50" s="1253" t="str">
        <f>INDEX(PT_DIFFERENTIATION_NUM_TER,MATCH(B50,PT_DIFFERENTIATION_TER_ID,0))</f>
        <v>1.1</v>
      </c>
      <c r="V50" s="229" t="s">
        <v>517</v>
      </c>
      <c r="W50" s="219"/>
      <c r="X50" s="6749"/>
      <c r="Y50" s="6750"/>
      <c r="Z50" s="6750"/>
      <c r="AA50" s="6750"/>
      <c r="AB50" s="6750"/>
      <c r="AC50" s="6750"/>
      <c r="AD50" s="6750"/>
      <c r="AE50" s="6750"/>
      <c r="AF50" s="6751"/>
      <c r="AG50" s="6749" t="str">
        <f>INDEX(PT_DIFFERENTIATION_TER,MATCH(B50,PT_DIFFERENTIATION_TER_ID,0))</f>
        <v>Территория 3</v>
      </c>
      <c r="AH50" s="6750"/>
      <c r="AI50" s="6750"/>
      <c r="AJ50" s="6750"/>
      <c r="AK50" s="6750"/>
      <c r="AL50" s="6750"/>
      <c r="AM50" s="6750"/>
      <c r="AN50" s="6750"/>
      <c r="AO50" s="6750"/>
      <c r="AP50" s="6749"/>
      <c r="AQ50" s="6750"/>
      <c r="AR50" s="6750"/>
      <c r="AS50" s="6750"/>
      <c r="AT50" s="6750"/>
      <c r="AU50" s="6750"/>
      <c r="AV50" s="6750"/>
      <c r="AW50" s="6750"/>
      <c r="AX50" s="6751"/>
      <c r="AY50" s="6749"/>
      <c r="AZ50" s="6750"/>
      <c r="BA50" s="6750"/>
      <c r="BB50" s="6750"/>
      <c r="BC50" s="6750"/>
      <c r="BD50" s="6750"/>
      <c r="BE50" s="6750"/>
      <c r="BF50" s="6750"/>
      <c r="BG50" s="6751"/>
      <c r="BH50" s="6749"/>
      <c r="BI50" s="6750"/>
      <c r="BJ50" s="6750"/>
      <c r="BK50" s="6750"/>
      <c r="BL50" s="6750"/>
      <c r="BM50" s="6750"/>
      <c r="BN50" s="6750"/>
      <c r="BO50" s="6750"/>
      <c r="BP50" s="6751"/>
      <c r="BQ50" s="6749"/>
      <c r="BR50" s="6750"/>
      <c r="BS50" s="6750"/>
      <c r="BT50" s="6750"/>
      <c r="BU50" s="6750"/>
      <c r="BV50" s="6750"/>
      <c r="BW50" s="6750"/>
      <c r="BX50" s="6750"/>
      <c r="BY50" s="6751"/>
      <c r="BZ50" s="6749"/>
      <c r="CA50" s="6750"/>
      <c r="CB50" s="6750"/>
      <c r="CC50" s="6750"/>
      <c r="CD50" s="6750"/>
      <c r="CE50" s="6750"/>
      <c r="CF50" s="6750"/>
      <c r="CG50" s="6750"/>
      <c r="CH50" s="6751"/>
      <c r="CI50" s="6751"/>
      <c r="CJ50" s="1177" t="s">
        <v>518</v>
      </c>
      <c r="CL50" s="426"/>
      <c r="CM50" s="426" t="str">
        <f t="shared" si="2"/>
        <v>Территория действия тарифа</v>
      </c>
      <c r="CN50" s="426"/>
      <c r="CO50" s="426"/>
    </row>
    <row r="51" spans="1:93" ht="22.5" customHeight="1">
      <c r="A51" s="1186" t="s">
        <v>295</v>
      </c>
      <c r="B51" s="1186" t="s">
        <v>296</v>
      </c>
      <c r="C51" s="1186" t="s">
        <v>297</v>
      </c>
      <c r="D51" s="1186"/>
      <c r="E51" s="6794"/>
      <c r="F51" s="6794"/>
      <c r="G51" s="6793">
        <v>1</v>
      </c>
      <c r="H51" s="1186"/>
      <c r="I51" s="1186"/>
      <c r="J51" s="1186"/>
      <c r="K51" s="1186"/>
      <c r="L51" s="1186"/>
      <c r="M51" s="1228"/>
      <c r="N51" s="608"/>
      <c r="O51" s="608"/>
      <c r="P51" s="608"/>
      <c r="Q51" s="279"/>
      <c r="R51" s="277"/>
      <c r="S51" s="435"/>
      <c r="T51" s="278"/>
      <c r="U51" s="1253" t="str">
        <f>INDEX(PT_DIFFERENTIATION_NUM_CS,MATCH(C51,PT_DIFFERENTIATION_CS_ID,0))</f>
        <v>1.1.1</v>
      </c>
      <c r="V51" s="230" t="s">
        <v>519</v>
      </c>
      <c r="W51" s="219"/>
      <c r="X51" s="6749"/>
      <c r="Y51" s="6750"/>
      <c r="Z51" s="6750"/>
      <c r="AA51" s="6750"/>
      <c r="AB51" s="6750"/>
      <c r="AC51" s="6750"/>
      <c r="AD51" s="6750"/>
      <c r="AE51" s="6750"/>
      <c r="AF51" s="6751"/>
      <c r="AG51" s="6749" t="str">
        <f>INDEX(PT_DIFFERENTIATION_CS,MATCH(C51,PT_DIFFERENTIATION_CS_ID,0))</f>
        <v>без дифференциации</v>
      </c>
      <c r="AH51" s="6750"/>
      <c r="AI51" s="6750"/>
      <c r="AJ51" s="6750"/>
      <c r="AK51" s="6750"/>
      <c r="AL51" s="6750"/>
      <c r="AM51" s="6750"/>
      <c r="AN51" s="6750"/>
      <c r="AO51" s="6750"/>
      <c r="AP51" s="6749"/>
      <c r="AQ51" s="6750"/>
      <c r="AR51" s="6750"/>
      <c r="AS51" s="6750"/>
      <c r="AT51" s="6750"/>
      <c r="AU51" s="6750"/>
      <c r="AV51" s="6750"/>
      <c r="AW51" s="6750"/>
      <c r="AX51" s="6751"/>
      <c r="AY51" s="6749"/>
      <c r="AZ51" s="6750"/>
      <c r="BA51" s="6750"/>
      <c r="BB51" s="6750"/>
      <c r="BC51" s="6750"/>
      <c r="BD51" s="6750"/>
      <c r="BE51" s="6750"/>
      <c r="BF51" s="6750"/>
      <c r="BG51" s="6751"/>
      <c r="BH51" s="6749"/>
      <c r="BI51" s="6750"/>
      <c r="BJ51" s="6750"/>
      <c r="BK51" s="6750"/>
      <c r="BL51" s="6750"/>
      <c r="BM51" s="6750"/>
      <c r="BN51" s="6750"/>
      <c r="BO51" s="6750"/>
      <c r="BP51" s="6751"/>
      <c r="BQ51" s="6749"/>
      <c r="BR51" s="6750"/>
      <c r="BS51" s="6750"/>
      <c r="BT51" s="6750"/>
      <c r="BU51" s="6750"/>
      <c r="BV51" s="6750"/>
      <c r="BW51" s="6750"/>
      <c r="BX51" s="6750"/>
      <c r="BY51" s="6751"/>
      <c r="BZ51" s="6749"/>
      <c r="CA51" s="6750"/>
      <c r="CB51" s="6750"/>
      <c r="CC51" s="6750"/>
      <c r="CD51" s="6750"/>
      <c r="CE51" s="6750"/>
      <c r="CF51" s="6750"/>
      <c r="CG51" s="6750"/>
      <c r="CH51" s="6751"/>
      <c r="CI51" s="6751"/>
      <c r="CJ51" s="1177" t="s">
        <v>520</v>
      </c>
      <c r="CL51" s="426"/>
      <c r="CM51" s="426" t="str">
        <f t="shared" si="2"/>
        <v xml:space="preserve">Наименование системы теплоснабжения </v>
      </c>
      <c r="CN51" s="426"/>
      <c r="CO51" s="426"/>
    </row>
    <row r="52" spans="1:93" ht="21" customHeight="1">
      <c r="A52" s="1186" t="s">
        <v>295</v>
      </c>
      <c r="B52" s="1186" t="s">
        <v>296</v>
      </c>
      <c r="C52" s="1186" t="s">
        <v>297</v>
      </c>
      <c r="D52" s="1186" t="s">
        <v>298</v>
      </c>
      <c r="E52" s="6794"/>
      <c r="F52" s="6794"/>
      <c r="G52" s="6794"/>
      <c r="H52" s="6793">
        <v>1</v>
      </c>
      <c r="I52" s="1186"/>
      <c r="J52" s="1186"/>
      <c r="K52" s="1186"/>
      <c r="L52" s="1186"/>
      <c r="M52" s="1228"/>
      <c r="N52" s="608"/>
      <c r="O52" s="608"/>
      <c r="P52" s="608"/>
      <c r="Q52" s="279"/>
      <c r="R52" s="277"/>
      <c r="S52" s="435"/>
      <c r="T52" s="278"/>
      <c r="U52" s="1253" t="str">
        <f>INDEX(PT_DIFFERENTIATION_NUM_IST_TE,MATCH(D52,PT_DIFFERENTIATION_IST_TE_ID,0))</f>
        <v>1.1.1.1</v>
      </c>
      <c r="V52" s="231" t="s">
        <v>521</v>
      </c>
      <c r="W52" s="219"/>
      <c r="X52" s="6749"/>
      <c r="Y52" s="6750"/>
      <c r="Z52" s="6750"/>
      <c r="AA52" s="6750"/>
      <c r="AB52" s="6750"/>
      <c r="AC52" s="6750"/>
      <c r="AD52" s="6750"/>
      <c r="AE52" s="6750"/>
      <c r="AF52" s="6751"/>
      <c r="AG52" s="6749" t="str">
        <f>INDEX(PT_DIFFERENTIATION_IST_TE,MATCH(D52,PT_DIFFERENTIATION_IST_TE_ID,0))</f>
        <v>без дифференциации</v>
      </c>
      <c r="AH52" s="6750"/>
      <c r="AI52" s="6750"/>
      <c r="AJ52" s="6750"/>
      <c r="AK52" s="6750"/>
      <c r="AL52" s="6750"/>
      <c r="AM52" s="6750"/>
      <c r="AN52" s="6750"/>
      <c r="AO52" s="6750"/>
      <c r="AP52" s="6749"/>
      <c r="AQ52" s="6750"/>
      <c r="AR52" s="6750"/>
      <c r="AS52" s="6750"/>
      <c r="AT52" s="6750"/>
      <c r="AU52" s="6750"/>
      <c r="AV52" s="6750"/>
      <c r="AW52" s="6750"/>
      <c r="AX52" s="6751"/>
      <c r="AY52" s="6749"/>
      <c r="AZ52" s="6750"/>
      <c r="BA52" s="6750"/>
      <c r="BB52" s="6750"/>
      <c r="BC52" s="6750"/>
      <c r="BD52" s="6750"/>
      <c r="BE52" s="6750"/>
      <c r="BF52" s="6750"/>
      <c r="BG52" s="6751"/>
      <c r="BH52" s="6749"/>
      <c r="BI52" s="6750"/>
      <c r="BJ52" s="6750"/>
      <c r="BK52" s="6750"/>
      <c r="BL52" s="6750"/>
      <c r="BM52" s="6750"/>
      <c r="BN52" s="6750"/>
      <c r="BO52" s="6750"/>
      <c r="BP52" s="6751"/>
      <c r="BQ52" s="6749"/>
      <c r="BR52" s="6750"/>
      <c r="BS52" s="6750"/>
      <c r="BT52" s="6750"/>
      <c r="BU52" s="6750"/>
      <c r="BV52" s="6750"/>
      <c r="BW52" s="6750"/>
      <c r="BX52" s="6750"/>
      <c r="BY52" s="6751"/>
      <c r="BZ52" s="6749"/>
      <c r="CA52" s="6750"/>
      <c r="CB52" s="6750"/>
      <c r="CC52" s="6750"/>
      <c r="CD52" s="6750"/>
      <c r="CE52" s="6750"/>
      <c r="CF52" s="6750"/>
      <c r="CG52" s="6750"/>
      <c r="CH52" s="6751"/>
      <c r="CI52" s="6751"/>
      <c r="CJ52" s="1177" t="s">
        <v>522</v>
      </c>
      <c r="CL52" s="426"/>
      <c r="CM52" s="426" t="str">
        <f t="shared" si="2"/>
        <v xml:space="preserve">Источник тепловой энергии  </v>
      </c>
      <c r="CN52" s="426"/>
      <c r="CO52" s="426"/>
    </row>
    <row r="53" spans="1:93" s="1817" customFormat="1" ht="0" hidden="1" customHeight="1">
      <c r="A53" s="1291" t="s">
        <v>295</v>
      </c>
      <c r="B53" s="1291" t="s">
        <v>296</v>
      </c>
      <c r="C53" s="1291" t="s">
        <v>297</v>
      </c>
      <c r="D53" s="1291" t="s">
        <v>298</v>
      </c>
      <c r="E53" s="6794"/>
      <c r="F53" s="6794"/>
      <c r="G53" s="6794"/>
      <c r="H53" s="6794"/>
      <c r="I53" s="6629" t="str">
        <f>U52&amp;".1"</f>
        <v>1.1.1.1.1</v>
      </c>
      <c r="J53" s="1291"/>
      <c r="K53" s="1291"/>
      <c r="L53" s="1291"/>
      <c r="M53" s="1297" t="s">
        <v>523</v>
      </c>
      <c r="N53" s="1155"/>
      <c r="O53" s="1155"/>
      <c r="P53" s="1155"/>
      <c r="Q53" s="6762">
        <v>1</v>
      </c>
      <c r="R53" s="1248"/>
      <c r="S53" s="1248"/>
      <c r="T53" s="281"/>
      <c r="U53" s="949"/>
      <c r="V53" s="1299"/>
      <c r="W53" s="1300"/>
      <c r="X53" s="6790"/>
      <c r="Y53" s="6791"/>
      <c r="Z53" s="6791"/>
      <c r="AA53" s="6791"/>
      <c r="AB53" s="6791"/>
      <c r="AC53" s="6791"/>
      <c r="AD53" s="6791"/>
      <c r="AE53" s="6791"/>
      <c r="AF53" s="6792"/>
      <c r="AG53" s="6790"/>
      <c r="AH53" s="6791"/>
      <c r="AI53" s="6791"/>
      <c r="AJ53" s="6791"/>
      <c r="AK53" s="6791"/>
      <c r="AL53" s="6791"/>
      <c r="AM53" s="6791"/>
      <c r="AN53" s="6791"/>
      <c r="AO53" s="6791"/>
      <c r="AP53" s="6790"/>
      <c r="AQ53" s="6791"/>
      <c r="AR53" s="6791"/>
      <c r="AS53" s="6791"/>
      <c r="AT53" s="6791"/>
      <c r="AU53" s="6791"/>
      <c r="AV53" s="6791"/>
      <c r="AW53" s="6791"/>
      <c r="AX53" s="6792"/>
      <c r="AY53" s="6790"/>
      <c r="AZ53" s="6791"/>
      <c r="BA53" s="6791"/>
      <c r="BB53" s="6791"/>
      <c r="BC53" s="6791"/>
      <c r="BD53" s="6791"/>
      <c r="BE53" s="6791"/>
      <c r="BF53" s="6791"/>
      <c r="BG53" s="6792"/>
      <c r="BH53" s="6790"/>
      <c r="BI53" s="6791"/>
      <c r="BJ53" s="6791"/>
      <c r="BK53" s="6791"/>
      <c r="BL53" s="6791"/>
      <c r="BM53" s="6791"/>
      <c r="BN53" s="6791"/>
      <c r="BO53" s="6791"/>
      <c r="BP53" s="6792"/>
      <c r="BQ53" s="6790"/>
      <c r="BR53" s="6791"/>
      <c r="BS53" s="6791"/>
      <c r="BT53" s="6791"/>
      <c r="BU53" s="6791"/>
      <c r="BV53" s="6791"/>
      <c r="BW53" s="6791"/>
      <c r="BX53" s="6791"/>
      <c r="BY53" s="6792"/>
      <c r="BZ53" s="6790"/>
      <c r="CA53" s="6791"/>
      <c r="CB53" s="6791"/>
      <c r="CC53" s="6791"/>
      <c r="CD53" s="6791"/>
      <c r="CE53" s="6791"/>
      <c r="CF53" s="6791"/>
      <c r="CG53" s="6791"/>
      <c r="CH53" s="6792"/>
      <c r="CI53" s="6792"/>
      <c r="CJ53" s="1301"/>
      <c r="CL53" s="426"/>
      <c r="CM53" s="426" t="str">
        <f t="shared" si="2"/>
        <v/>
      </c>
      <c r="CN53" s="426"/>
      <c r="CO53" s="426"/>
    </row>
    <row r="54" spans="1:93" ht="21" customHeight="1">
      <c r="A54" s="1186" t="s">
        <v>295</v>
      </c>
      <c r="B54" s="1186" t="s">
        <v>296</v>
      </c>
      <c r="C54" s="1186" t="s">
        <v>297</v>
      </c>
      <c r="D54" s="1186" t="s">
        <v>298</v>
      </c>
      <c r="E54" s="6794"/>
      <c r="F54" s="6794"/>
      <c r="G54" s="6794"/>
      <c r="H54" s="6794"/>
      <c r="I54" s="6600"/>
      <c r="J54" s="6629" t="str">
        <f>I53&amp;".1"</f>
        <v>1.1.1.1.1.1</v>
      </c>
      <c r="K54" s="1186"/>
      <c r="L54" s="1186"/>
      <c r="M54" s="1228" t="s">
        <v>526</v>
      </c>
      <c r="Q54" s="6762"/>
      <c r="R54" s="6762">
        <v>1</v>
      </c>
      <c r="S54" s="444"/>
      <c r="T54" s="282"/>
      <c r="U54" s="1253" t="str">
        <f>$J54</f>
        <v>1.1.1.1.1.1</v>
      </c>
      <c r="V54" s="205" t="s">
        <v>527</v>
      </c>
      <c r="W54" s="219"/>
      <c r="X54" s="6752"/>
      <c r="Y54" s="6753"/>
      <c r="Z54" s="6753"/>
      <c r="AA54" s="6753"/>
      <c r="AB54" s="6753"/>
      <c r="AC54" s="6745"/>
      <c r="AD54" s="6745"/>
      <c r="AE54" s="6745"/>
      <c r="AF54" s="6795"/>
      <c r="AG54" s="6752" t="s">
        <v>566</v>
      </c>
      <c r="AH54" s="6753"/>
      <c r="AI54" s="6753"/>
      <c r="AJ54" s="6753"/>
      <c r="AK54" s="6753"/>
      <c r="AL54" s="6753"/>
      <c r="AM54" s="6753"/>
      <c r="AN54" s="6753"/>
      <c r="AO54" s="6753"/>
      <c r="AP54" s="6752"/>
      <c r="AQ54" s="6753"/>
      <c r="AR54" s="6753"/>
      <c r="AS54" s="6753"/>
      <c r="AT54" s="6753"/>
      <c r="AU54" s="6745"/>
      <c r="AV54" s="6745"/>
      <c r="AW54" s="6745"/>
      <c r="AX54" s="6795"/>
      <c r="AY54" s="6752"/>
      <c r="AZ54" s="6753"/>
      <c r="BA54" s="6753"/>
      <c r="BB54" s="6753"/>
      <c r="BC54" s="6753"/>
      <c r="BD54" s="6745"/>
      <c r="BE54" s="6745"/>
      <c r="BF54" s="6745"/>
      <c r="BG54" s="6795"/>
      <c r="BH54" s="6752"/>
      <c r="BI54" s="6753"/>
      <c r="BJ54" s="6753"/>
      <c r="BK54" s="6753"/>
      <c r="BL54" s="6753"/>
      <c r="BM54" s="6745"/>
      <c r="BN54" s="6745"/>
      <c r="BO54" s="6745"/>
      <c r="BP54" s="6795"/>
      <c r="BQ54" s="6752"/>
      <c r="BR54" s="6753"/>
      <c r="BS54" s="6753"/>
      <c r="BT54" s="6753"/>
      <c r="BU54" s="6753"/>
      <c r="BV54" s="6745"/>
      <c r="BW54" s="6745"/>
      <c r="BX54" s="6745"/>
      <c r="BY54" s="6795"/>
      <c r="BZ54" s="6752"/>
      <c r="CA54" s="6753"/>
      <c r="CB54" s="6753"/>
      <c r="CC54" s="6753"/>
      <c r="CD54" s="6753"/>
      <c r="CE54" s="6745"/>
      <c r="CF54" s="6745"/>
      <c r="CG54" s="6745"/>
      <c r="CH54" s="6795"/>
      <c r="CI54" s="6754"/>
      <c r="CJ54" s="1177" t="s">
        <v>528</v>
      </c>
      <c r="CL54" s="426"/>
      <c r="CM54" s="426" t="str">
        <f t="shared" si="2"/>
        <v>Группа потребителей</v>
      </c>
      <c r="CN54" s="426"/>
      <c r="CO54" s="426"/>
    </row>
    <row r="55" spans="1:93" ht="21" customHeight="1">
      <c r="A55" s="1186" t="s">
        <v>295</v>
      </c>
      <c r="B55" s="1186" t="s">
        <v>296</v>
      </c>
      <c r="C55" s="1186" t="s">
        <v>297</v>
      </c>
      <c r="D55" s="1186" t="s">
        <v>298</v>
      </c>
      <c r="E55" s="6794"/>
      <c r="F55" s="6794"/>
      <c r="G55" s="6794"/>
      <c r="H55" s="6794"/>
      <c r="I55" s="6600"/>
      <c r="J55" s="6600"/>
      <c r="K55" s="6629" t="str">
        <f>J54&amp;".1"</f>
        <v>1.1.1.1.1.1.1</v>
      </c>
      <c r="L55" s="65"/>
      <c r="M55" s="1228" t="s">
        <v>529</v>
      </c>
      <c r="Q55" s="6762"/>
      <c r="R55" s="6762"/>
      <c r="S55" s="444">
        <v>1</v>
      </c>
      <c r="T55" s="282"/>
      <c r="U55" s="1253" t="str">
        <f>$K55</f>
        <v>1.1.1.1.1.1.1</v>
      </c>
      <c r="V55" s="1264" t="s">
        <v>567</v>
      </c>
      <c r="W55" s="219"/>
      <c r="X55" s="2763"/>
      <c r="Y55" s="2763"/>
      <c r="Z55" s="2763"/>
      <c r="AA55" s="2763"/>
      <c r="AB55" s="2764"/>
      <c r="AC55" s="6768"/>
      <c r="AD55" s="6769" t="s">
        <v>61</v>
      </c>
      <c r="AE55" s="6768"/>
      <c r="AF55" s="6769" t="s">
        <v>61</v>
      </c>
      <c r="AG55" s="1322"/>
      <c r="AH55" s="668">
        <v>54.46</v>
      </c>
      <c r="AI55" s="668">
        <v>2551.71</v>
      </c>
      <c r="AJ55" s="668"/>
      <c r="AK55" s="1176"/>
      <c r="AL55" s="6766">
        <v>45292.746608796297</v>
      </c>
      <c r="AM55" s="6610" t="s">
        <v>61</v>
      </c>
      <c r="AN55" s="6766">
        <v>45838.746736111112</v>
      </c>
      <c r="AO55" s="6610" t="s">
        <v>61</v>
      </c>
      <c r="AP55" s="2078"/>
      <c r="AQ55" s="2078">
        <v>56.25</v>
      </c>
      <c r="AR55" s="2078">
        <v>2860.24</v>
      </c>
      <c r="AS55" s="2078"/>
      <c r="AT55" s="5656"/>
      <c r="AU55" s="6766">
        <v>45839.747430555559</v>
      </c>
      <c r="AV55" s="6610" t="s">
        <v>61</v>
      </c>
      <c r="AW55" s="6766">
        <v>46203.747627314813</v>
      </c>
      <c r="AX55" s="6610" t="s">
        <v>61</v>
      </c>
      <c r="AY55" s="2078"/>
      <c r="AZ55" s="2078">
        <v>57.94</v>
      </c>
      <c r="BA55" s="2078">
        <v>2963.37</v>
      </c>
      <c r="BB55" s="2078"/>
      <c r="BC55" s="5656"/>
      <c r="BD55" s="6766">
        <v>46569.74827546296</v>
      </c>
      <c r="BE55" s="6610" t="s">
        <v>61</v>
      </c>
      <c r="BF55" s="6766">
        <v>46568.748437499999</v>
      </c>
      <c r="BG55" s="6610" t="s">
        <v>61</v>
      </c>
      <c r="BH55" s="2078"/>
      <c r="BI55" s="2078">
        <v>59.68</v>
      </c>
      <c r="BJ55" s="2078">
        <v>3065.16</v>
      </c>
      <c r="BK55" s="2078"/>
      <c r="BL55" s="5656"/>
      <c r="BM55" s="6766">
        <v>46569.748854166668</v>
      </c>
      <c r="BN55" s="6610" t="s">
        <v>61</v>
      </c>
      <c r="BO55" s="6766">
        <v>46934.749085648145</v>
      </c>
      <c r="BP55" s="6610" t="s">
        <v>61</v>
      </c>
      <c r="BQ55" s="2078"/>
      <c r="BR55" s="2078">
        <v>61.47</v>
      </c>
      <c r="BS55" s="2078">
        <v>3170.53</v>
      </c>
      <c r="BT55" s="2078"/>
      <c r="BU55" s="5656"/>
      <c r="BV55" s="6766">
        <v>46935.749409722222</v>
      </c>
      <c r="BW55" s="6610" t="s">
        <v>61</v>
      </c>
      <c r="BX55" s="6766">
        <v>47118.749548611115</v>
      </c>
      <c r="BY55" s="6610" t="s">
        <v>56</v>
      </c>
      <c r="BZ55" s="2763"/>
      <c r="CA55" s="2763"/>
      <c r="CB55" s="2763"/>
      <c r="CC55" s="2763"/>
      <c r="CD55" s="2764"/>
      <c r="CE55" s="6768"/>
      <c r="CF55" s="6769" t="s">
        <v>61</v>
      </c>
      <c r="CG55" s="6768"/>
      <c r="CH55" s="6769" t="s">
        <v>61</v>
      </c>
      <c r="CI55" s="1265"/>
      <c r="CJ55" s="1226" t="s">
        <v>570</v>
      </c>
      <c r="CK55" s="437" t="e">
        <f ca="1">STRCHECKDATE(X57:CI57)</f>
        <v>#NAME?</v>
      </c>
      <c r="CL55" s="426"/>
      <c r="CM55" s="426" t="str">
        <f t="shared" si="2"/>
        <v>вода</v>
      </c>
      <c r="CN55" s="426"/>
      <c r="CO55" s="426"/>
    </row>
    <row r="56" spans="1:93" ht="11.25" customHeight="1">
      <c r="A56" s="1186" t="s">
        <v>295</v>
      </c>
      <c r="B56" s="1186" t="s">
        <v>296</v>
      </c>
      <c r="C56" s="1186" t="s">
        <v>297</v>
      </c>
      <c r="D56" s="1186" t="s">
        <v>298</v>
      </c>
      <c r="E56" s="6794"/>
      <c r="F56" s="6794"/>
      <c r="G56" s="6794"/>
      <c r="H56" s="6794"/>
      <c r="I56" s="6600"/>
      <c r="J56" s="6600"/>
      <c r="K56" s="6600"/>
      <c r="L56" s="6629" t="str">
        <f>K55&amp;".1"</f>
        <v>1.1.1.1.1.1.1.1</v>
      </c>
      <c r="M56" s="1228"/>
      <c r="Q56" s="6762"/>
      <c r="R56" s="6762"/>
      <c r="S56" s="444">
        <v>1</v>
      </c>
      <c r="T56" s="282"/>
      <c r="U56" s="1253" t="str">
        <f>$L56</f>
        <v>1.1.1.1.1.1.1.1</v>
      </c>
      <c r="V56" s="1307"/>
      <c r="W56" s="219"/>
      <c r="X56" s="2763"/>
      <c r="Y56" s="2763"/>
      <c r="Z56" s="2763"/>
      <c r="AA56" s="2763"/>
      <c r="AB56" s="2764"/>
      <c r="AC56" s="6768"/>
      <c r="AD56" s="6769"/>
      <c r="AE56" s="6768"/>
      <c r="AF56" s="6769"/>
      <c r="AG56" s="1322"/>
      <c r="AH56" s="668"/>
      <c r="AI56" s="668"/>
      <c r="AJ56" s="668"/>
      <c r="AK56" s="1176"/>
      <c r="AL56" s="6767"/>
      <c r="AM56" s="6610"/>
      <c r="AN56" s="6767"/>
      <c r="AO56" s="6610"/>
      <c r="AP56" s="2079"/>
      <c r="AQ56" s="2078"/>
      <c r="AR56" s="2078"/>
      <c r="AS56" s="2078"/>
      <c r="AT56" s="5656"/>
      <c r="AU56" s="6767"/>
      <c r="AV56" s="6610"/>
      <c r="AW56" s="6767"/>
      <c r="AX56" s="6610"/>
      <c r="AY56" s="2079"/>
      <c r="AZ56" s="2078"/>
      <c r="BA56" s="2078"/>
      <c r="BB56" s="2078"/>
      <c r="BC56" s="5656"/>
      <c r="BD56" s="6767"/>
      <c r="BE56" s="6610"/>
      <c r="BF56" s="6767"/>
      <c r="BG56" s="6610"/>
      <c r="BH56" s="2079"/>
      <c r="BI56" s="2078"/>
      <c r="BJ56" s="2078"/>
      <c r="BK56" s="2078"/>
      <c r="BL56" s="5656"/>
      <c r="BM56" s="6767"/>
      <c r="BN56" s="6610"/>
      <c r="BO56" s="6767"/>
      <c r="BP56" s="6610"/>
      <c r="BQ56" s="2079"/>
      <c r="BR56" s="2078"/>
      <c r="BS56" s="2078"/>
      <c r="BT56" s="2078"/>
      <c r="BU56" s="5656"/>
      <c r="BV56" s="6767"/>
      <c r="BW56" s="6610"/>
      <c r="BX56" s="6767"/>
      <c r="BY56" s="6610"/>
      <c r="BZ56" s="2763"/>
      <c r="CA56" s="2763"/>
      <c r="CB56" s="2763"/>
      <c r="CC56" s="2763"/>
      <c r="CD56" s="2764"/>
      <c r="CE56" s="6768"/>
      <c r="CF56" s="6769"/>
      <c r="CG56" s="6768"/>
      <c r="CH56" s="6769"/>
      <c r="CI56" s="1265"/>
      <c r="CJ56" s="6758" t="s">
        <v>571</v>
      </c>
      <c r="CK56" s="437" t="e">
        <f ca="1">STRCHECKDATE(X58:CI58)</f>
        <v>#NAME?</v>
      </c>
      <c r="CL56" s="426"/>
      <c r="CM56" s="426" t="str">
        <f t="shared" si="2"/>
        <v/>
      </c>
      <c r="CN56" s="426"/>
      <c r="CO56" s="426"/>
    </row>
    <row r="57" spans="1:93" ht="0" hidden="1" customHeight="1">
      <c r="A57" s="1186" t="s">
        <v>295</v>
      </c>
      <c r="B57" s="1186" t="s">
        <v>296</v>
      </c>
      <c r="C57" s="1186" t="s">
        <v>297</v>
      </c>
      <c r="D57" s="1186" t="s">
        <v>298</v>
      </c>
      <c r="E57" s="6794"/>
      <c r="F57" s="6794"/>
      <c r="G57" s="6794"/>
      <c r="H57" s="6794"/>
      <c r="I57" s="6600"/>
      <c r="J57" s="6600"/>
      <c r="K57" s="6600"/>
      <c r="L57" s="6629"/>
      <c r="M57" s="1228"/>
      <c r="Q57" s="6762"/>
      <c r="R57" s="6762"/>
      <c r="S57" s="444"/>
      <c r="T57" s="282"/>
      <c r="U57" s="1259"/>
      <c r="V57" s="219"/>
      <c r="W57" s="219"/>
      <c r="X57" s="2763"/>
      <c r="Y57" s="2763"/>
      <c r="Z57" s="2763"/>
      <c r="AA57" s="2763"/>
      <c r="AB57" s="2764"/>
      <c r="AC57" s="6768"/>
      <c r="AD57" s="6769"/>
      <c r="AE57" s="6768"/>
      <c r="AF57" s="6769"/>
      <c r="AG57" s="1298"/>
      <c r="AH57" s="251"/>
      <c r="AI57" s="251"/>
      <c r="AJ57" s="251"/>
      <c r="AK57" s="255" t="str">
        <f>AL55&amp;"-"&amp;AN55</f>
        <v>45292,7466087962-45838,7467361111</v>
      </c>
      <c r="AL57" s="6767"/>
      <c r="AM57" s="6610"/>
      <c r="AN57" s="6767"/>
      <c r="AO57" s="6610"/>
      <c r="AP57" s="2079"/>
      <c r="AQ57" s="2079"/>
      <c r="AR57" s="2079"/>
      <c r="AS57" s="2079"/>
      <c r="AT57" s="5657" t="str">
        <f>AU55&amp;"-"&amp;AW55</f>
        <v>45839,7474305556-46203,7476273148</v>
      </c>
      <c r="AU57" s="6767"/>
      <c r="AV57" s="6610"/>
      <c r="AW57" s="6767"/>
      <c r="AX57" s="6610"/>
      <c r="AY57" s="2079"/>
      <c r="AZ57" s="2079"/>
      <c r="BA57" s="2079"/>
      <c r="BB57" s="2079"/>
      <c r="BC57" s="5657" t="str">
        <f>BD55&amp;"-"&amp;BF55</f>
        <v>46569,748275463-46568,7484375</v>
      </c>
      <c r="BD57" s="6767"/>
      <c r="BE57" s="6610"/>
      <c r="BF57" s="6767"/>
      <c r="BG57" s="6610"/>
      <c r="BH57" s="2079"/>
      <c r="BI57" s="2079"/>
      <c r="BJ57" s="2079"/>
      <c r="BK57" s="2079"/>
      <c r="BL57" s="5657" t="str">
        <f>BM55&amp;"-"&amp;BO55</f>
        <v>46569,7488541667-46934,7490856481</v>
      </c>
      <c r="BM57" s="6767"/>
      <c r="BN57" s="6610"/>
      <c r="BO57" s="6767"/>
      <c r="BP57" s="6610"/>
      <c r="BQ57" s="2079"/>
      <c r="BR57" s="2079"/>
      <c r="BS57" s="2079"/>
      <c r="BT57" s="2079"/>
      <c r="BU57" s="5657" t="str">
        <f>BV55&amp;"-"&amp;BX55</f>
        <v>46935,7494097222-47118,7495486111</v>
      </c>
      <c r="BV57" s="6767"/>
      <c r="BW57" s="6610"/>
      <c r="BX57" s="6767"/>
      <c r="BY57" s="6610"/>
      <c r="BZ57" s="2763"/>
      <c r="CA57" s="2763"/>
      <c r="CB57" s="2763"/>
      <c r="CC57" s="2763"/>
      <c r="CD57" s="2764"/>
      <c r="CE57" s="6768"/>
      <c r="CF57" s="6769"/>
      <c r="CG57" s="6768"/>
      <c r="CH57" s="6769"/>
      <c r="CI57" s="1266"/>
      <c r="CJ57" s="6759"/>
      <c r="CL57" s="426"/>
      <c r="CM57" s="426" t="str">
        <f t="shared" si="2"/>
        <v/>
      </c>
      <c r="CN57" s="426"/>
      <c r="CO57" s="426"/>
    </row>
    <row r="58" spans="1:93" ht="11.25" customHeight="1">
      <c r="A58" s="1186" t="s">
        <v>295</v>
      </c>
      <c r="B58" s="1186" t="s">
        <v>296</v>
      </c>
      <c r="C58" s="1186" t="s">
        <v>297</v>
      </c>
      <c r="D58" s="1186" t="s">
        <v>298</v>
      </c>
      <c r="E58" s="6794"/>
      <c r="F58" s="6794"/>
      <c r="G58" s="6794"/>
      <c r="H58" s="6794"/>
      <c r="I58" s="6600"/>
      <c r="J58" s="6600"/>
      <c r="K58" s="6629"/>
      <c r="L58" s="1186"/>
      <c r="M58" s="1228"/>
      <c r="Q58" s="6762"/>
      <c r="R58" s="6762"/>
      <c r="S58" s="1248"/>
      <c r="T58" s="281"/>
      <c r="U58" s="1198"/>
      <c r="V58" s="207" t="s">
        <v>572</v>
      </c>
      <c r="W58" s="295"/>
      <c r="X58" s="2763"/>
      <c r="Y58" s="2763"/>
      <c r="Z58" s="2763"/>
      <c r="AA58" s="2763"/>
      <c r="AB58" s="2082" t="str">
        <f>AC55&amp;"-"&amp;AE55</f>
        <v>-</v>
      </c>
      <c r="AC58" s="6769"/>
      <c r="AD58" s="6769"/>
      <c r="AE58" s="6769"/>
      <c r="AF58" s="6769"/>
      <c r="AG58" s="295"/>
      <c r="AH58" s="295"/>
      <c r="AI58" s="295"/>
      <c r="AJ58" s="295"/>
      <c r="AK58" s="295"/>
      <c r="AL58" s="6767"/>
      <c r="AM58" s="6610"/>
      <c r="AN58" s="6767"/>
      <c r="AO58" s="6610"/>
      <c r="AP58" s="5775"/>
      <c r="AQ58" s="5776"/>
      <c r="AR58" s="5777"/>
      <c r="AS58" s="5778"/>
      <c r="AT58" s="5779"/>
      <c r="AU58" s="6767"/>
      <c r="AV58" s="6610"/>
      <c r="AW58" s="6767"/>
      <c r="AX58" s="6610"/>
      <c r="AY58" s="5780"/>
      <c r="AZ58" s="5781"/>
      <c r="BA58" s="5782"/>
      <c r="BB58" s="5783"/>
      <c r="BC58" s="5784"/>
      <c r="BD58" s="6767"/>
      <c r="BE58" s="6610"/>
      <c r="BF58" s="6767"/>
      <c r="BG58" s="6610"/>
      <c r="BH58" s="5785"/>
      <c r="BI58" s="5786"/>
      <c r="BJ58" s="5787"/>
      <c r="BK58" s="5788"/>
      <c r="BL58" s="5789"/>
      <c r="BM58" s="6767"/>
      <c r="BN58" s="6610"/>
      <c r="BO58" s="6767"/>
      <c r="BP58" s="6610"/>
      <c r="BQ58" s="5790"/>
      <c r="BR58" s="5791"/>
      <c r="BS58" s="5792"/>
      <c r="BT58" s="5793"/>
      <c r="BU58" s="5794"/>
      <c r="BV58" s="6767"/>
      <c r="BW58" s="6610"/>
      <c r="BX58" s="6767"/>
      <c r="BY58" s="6610"/>
      <c r="BZ58" s="2763"/>
      <c r="CA58" s="2763"/>
      <c r="CB58" s="2763"/>
      <c r="CC58" s="2763"/>
      <c r="CD58" s="2082" t="str">
        <f>CE55&amp;"-"&amp;CG55</f>
        <v>-</v>
      </c>
      <c r="CE58" s="6769"/>
      <c r="CF58" s="6769"/>
      <c r="CG58" s="6769"/>
      <c r="CH58" s="6769"/>
      <c r="CI58" s="250"/>
      <c r="CJ58" s="6759"/>
      <c r="CL58" s="426"/>
      <c r="CM58" s="426" t="str">
        <f t="shared" si="2"/>
        <v>Добавить наименование поставщика</v>
      </c>
      <c r="CN58" s="426"/>
      <c r="CO58" s="426"/>
    </row>
    <row r="59" spans="1:93" ht="11.25" customHeight="1">
      <c r="A59" s="1186" t="s">
        <v>295</v>
      </c>
      <c r="B59" s="1186" t="s">
        <v>296</v>
      </c>
      <c r="C59" s="1186" t="s">
        <v>297</v>
      </c>
      <c r="D59" s="1186" t="s">
        <v>298</v>
      </c>
      <c r="E59" s="6794"/>
      <c r="F59" s="6794"/>
      <c r="G59" s="6794"/>
      <c r="H59" s="6794"/>
      <c r="I59" s="6600"/>
      <c r="J59" s="6629"/>
      <c r="K59" s="1186"/>
      <c r="L59" s="1186"/>
      <c r="M59" s="1228"/>
      <c r="Q59" s="6762"/>
      <c r="R59" s="6762"/>
      <c r="S59" s="1248"/>
      <c r="T59" s="281"/>
      <c r="U59" s="1198"/>
      <c r="V59" s="206" t="s">
        <v>531</v>
      </c>
      <c r="W59" s="295"/>
      <c r="X59" s="295"/>
      <c r="Y59" s="295"/>
      <c r="Z59" s="295"/>
      <c r="AA59" s="295"/>
      <c r="AB59" s="295"/>
      <c r="AC59" s="1323"/>
      <c r="AD59" s="1323"/>
      <c r="AE59" s="1323"/>
      <c r="AF59" s="1323"/>
      <c r="AG59" s="295"/>
      <c r="AH59" s="295"/>
      <c r="AI59" s="295"/>
      <c r="AJ59" s="295"/>
      <c r="AK59" s="295"/>
      <c r="AL59" s="295"/>
      <c r="AM59" s="295"/>
      <c r="AN59" s="295"/>
      <c r="AO59" s="295"/>
      <c r="AP59" s="5795"/>
      <c r="AQ59" s="5796"/>
      <c r="AR59" s="5797"/>
      <c r="AS59" s="5798"/>
      <c r="AT59" s="5799"/>
      <c r="AU59" s="5800"/>
      <c r="AV59" s="5801"/>
      <c r="AW59" s="5802"/>
      <c r="AX59" s="5803"/>
      <c r="AY59" s="5804"/>
      <c r="AZ59" s="5805"/>
      <c r="BA59" s="5806"/>
      <c r="BB59" s="5807"/>
      <c r="BC59" s="5808"/>
      <c r="BD59" s="5809"/>
      <c r="BE59" s="5810"/>
      <c r="BF59" s="5811"/>
      <c r="BG59" s="5812"/>
      <c r="BH59" s="5813"/>
      <c r="BI59" s="5814"/>
      <c r="BJ59" s="5815"/>
      <c r="BK59" s="5816"/>
      <c r="BL59" s="5817"/>
      <c r="BM59" s="5818"/>
      <c r="BN59" s="5819"/>
      <c r="BO59" s="5820"/>
      <c r="BP59" s="5821"/>
      <c r="BQ59" s="5822"/>
      <c r="BR59" s="5823"/>
      <c r="BS59" s="5824"/>
      <c r="BT59" s="5825"/>
      <c r="BU59" s="5826"/>
      <c r="BV59" s="5827"/>
      <c r="BW59" s="5828"/>
      <c r="BX59" s="5829"/>
      <c r="BY59" s="5830"/>
      <c r="BZ59" s="5831"/>
      <c r="CA59" s="5832"/>
      <c r="CB59" s="5833"/>
      <c r="CC59" s="5834"/>
      <c r="CD59" s="5835"/>
      <c r="CE59" s="5836"/>
      <c r="CF59" s="5837"/>
      <c r="CG59" s="5838"/>
      <c r="CH59" s="5839"/>
      <c r="CI59" s="250"/>
      <c r="CJ59" s="6760"/>
      <c r="CL59" s="426"/>
      <c r="CM59" s="426" t="str">
        <f t="shared" si="2"/>
        <v>Добавить вид теплоносителя (параметры теплоносителя)</v>
      </c>
      <c r="CN59" s="426"/>
      <c r="CO59" s="426"/>
    </row>
    <row r="60" spans="1:93" ht="11.25" customHeight="1">
      <c r="A60" s="1186" t="s">
        <v>295</v>
      </c>
      <c r="B60" s="1186" t="s">
        <v>296</v>
      </c>
      <c r="C60" s="1186" t="s">
        <v>297</v>
      </c>
      <c r="D60" s="1186" t="s">
        <v>298</v>
      </c>
      <c r="E60" s="6794"/>
      <c r="F60" s="6794"/>
      <c r="G60" s="6794"/>
      <c r="H60" s="6794"/>
      <c r="I60" s="6629"/>
      <c r="J60" s="1186"/>
      <c r="K60" s="1186"/>
      <c r="L60" s="1186"/>
      <c r="M60" s="1228"/>
      <c r="Q60" s="6762"/>
      <c r="R60" s="1248"/>
      <c r="S60" s="1248"/>
      <c r="T60" s="281"/>
      <c r="U60" s="1198"/>
      <c r="V60" s="292" t="s">
        <v>532</v>
      </c>
      <c r="W60" s="295"/>
      <c r="X60" s="295"/>
      <c r="Y60" s="295"/>
      <c r="Z60" s="295"/>
      <c r="AA60" s="295"/>
      <c r="AB60" s="295"/>
      <c r="AC60" s="295"/>
      <c r="AD60" s="295"/>
      <c r="AE60" s="295"/>
      <c r="AF60" s="294"/>
      <c r="AG60" s="295"/>
      <c r="AH60" s="295"/>
      <c r="AI60" s="295"/>
      <c r="AJ60" s="295"/>
      <c r="AK60" s="295"/>
      <c r="AL60" s="295"/>
      <c r="AM60" s="295"/>
      <c r="AN60" s="295"/>
      <c r="AO60" s="294"/>
      <c r="AP60" s="5840"/>
      <c r="AQ60" s="5841"/>
      <c r="AR60" s="5842"/>
      <c r="AS60" s="5843"/>
      <c r="AT60" s="5844"/>
      <c r="AU60" s="5845"/>
      <c r="AV60" s="5846"/>
      <c r="AW60" s="5847"/>
      <c r="AX60" s="5848"/>
      <c r="AY60" s="5849"/>
      <c r="AZ60" s="5850"/>
      <c r="BA60" s="5851"/>
      <c r="BB60" s="5852"/>
      <c r="BC60" s="5853"/>
      <c r="BD60" s="5854"/>
      <c r="BE60" s="5855"/>
      <c r="BF60" s="5856"/>
      <c r="BG60" s="5857"/>
      <c r="BH60" s="5858"/>
      <c r="BI60" s="5859"/>
      <c r="BJ60" s="5860"/>
      <c r="BK60" s="5861"/>
      <c r="BL60" s="5862"/>
      <c r="BM60" s="5863"/>
      <c r="BN60" s="5864"/>
      <c r="BO60" s="5865"/>
      <c r="BP60" s="5866"/>
      <c r="BQ60" s="5867"/>
      <c r="BR60" s="5868"/>
      <c r="BS60" s="5869"/>
      <c r="BT60" s="5870"/>
      <c r="BU60" s="5871"/>
      <c r="BV60" s="5872"/>
      <c r="BW60" s="5873"/>
      <c r="BX60" s="5874"/>
      <c r="BY60" s="5875"/>
      <c r="BZ60" s="5876"/>
      <c r="CA60" s="5877"/>
      <c r="CB60" s="5878"/>
      <c r="CC60" s="5879"/>
      <c r="CD60" s="5880"/>
      <c r="CE60" s="5881"/>
      <c r="CF60" s="5882"/>
      <c r="CG60" s="5883"/>
      <c r="CH60" s="5884"/>
      <c r="CI60" s="295"/>
      <c r="CJ60" s="222"/>
      <c r="CL60" s="426"/>
      <c r="CM60" s="426" t="str">
        <f t="shared" si="2"/>
        <v>Добавить группу потребителей</v>
      </c>
      <c r="CN60" s="426"/>
      <c r="CO60" s="426"/>
    </row>
    <row r="61" spans="1:93" ht="0" hidden="1" customHeight="1">
      <c r="A61" s="1186" t="s">
        <v>295</v>
      </c>
      <c r="B61" s="1186" t="s">
        <v>296</v>
      </c>
      <c r="C61" s="1186" t="s">
        <v>297</v>
      </c>
      <c r="D61" s="1186" t="s">
        <v>298</v>
      </c>
      <c r="E61" s="6794"/>
      <c r="F61" s="6794"/>
      <c r="G61" s="6794"/>
      <c r="H61" s="6793"/>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5168"/>
      <c r="AQ61" s="5168"/>
      <c r="AR61" s="5168"/>
      <c r="AS61" s="5168"/>
      <c r="AT61" s="5168"/>
      <c r="AU61" s="5168"/>
      <c r="AV61" s="5168"/>
      <c r="AW61" s="5168"/>
      <c r="AX61" s="5168"/>
      <c r="AY61" s="5168"/>
      <c r="AZ61" s="5168"/>
      <c r="BA61" s="5168"/>
      <c r="BB61" s="5168"/>
      <c r="BC61" s="5168"/>
      <c r="BD61" s="5168"/>
      <c r="BE61" s="5168"/>
      <c r="BF61" s="5168"/>
      <c r="BG61" s="5168"/>
      <c r="BH61" s="5168"/>
      <c r="BI61" s="5168"/>
      <c r="BJ61" s="5168"/>
      <c r="BK61" s="5168"/>
      <c r="BL61" s="5168"/>
      <c r="BM61" s="5168"/>
      <c r="BN61" s="5168"/>
      <c r="BO61" s="5168"/>
      <c r="BP61" s="5168"/>
      <c r="BQ61" s="5168"/>
      <c r="BR61" s="5168"/>
      <c r="BS61" s="5168"/>
      <c r="BT61" s="5168"/>
      <c r="BU61" s="5168"/>
      <c r="BV61" s="5168"/>
      <c r="BW61" s="5168"/>
      <c r="BX61" s="5168"/>
      <c r="BY61" s="5168"/>
      <c r="BZ61" s="5168"/>
      <c r="CA61" s="5168"/>
      <c r="CB61" s="5168"/>
      <c r="CC61" s="5168"/>
      <c r="CD61" s="5168"/>
      <c r="CE61" s="5168"/>
      <c r="CF61" s="5168"/>
      <c r="CG61" s="5168"/>
      <c r="CH61" s="5168"/>
      <c r="CI61" s="1304"/>
      <c r="CJ61" s="1305"/>
      <c r="CL61" s="426"/>
      <c r="CM61" s="426" t="str">
        <f t="shared" si="2"/>
        <v/>
      </c>
      <c r="CN61" s="426"/>
      <c r="CO61" s="426"/>
    </row>
    <row r="62" spans="1:93" s="2067" customFormat="1" ht="0" hidden="1" customHeight="1">
      <c r="A62" s="1291" t="s">
        <v>295</v>
      </c>
      <c r="B62" s="1291" t="s">
        <v>296</v>
      </c>
      <c r="C62" s="1291" t="s">
        <v>297</v>
      </c>
      <c r="D62" s="1290"/>
      <c r="E62" s="6794"/>
      <c r="F62" s="6794"/>
      <c r="G62" s="6793"/>
      <c r="H62" s="1290"/>
      <c r="I62" s="1290"/>
      <c r="J62" s="1290"/>
      <c r="K62" s="1290"/>
      <c r="L62" s="1290"/>
      <c r="M62" s="1293"/>
      <c r="N62" s="1294"/>
      <c r="O62" s="1294"/>
      <c r="P62" s="276"/>
      <c r="Q62" s="1234"/>
      <c r="R62" s="1235"/>
      <c r="S62" s="1234"/>
      <c r="T62" s="1234"/>
      <c r="U62" s="1240"/>
      <c r="V62" s="1243" t="s">
        <v>228</v>
      </c>
      <c r="W62" s="1242"/>
      <c r="X62" s="1242"/>
      <c r="Y62" s="1242"/>
      <c r="Z62" s="1242"/>
      <c r="AA62" s="1242"/>
      <c r="AB62" s="1242"/>
      <c r="AC62" s="1242"/>
      <c r="AD62" s="1242"/>
      <c r="AE62" s="1242"/>
      <c r="AF62" s="1242"/>
      <c r="AG62" s="1242"/>
      <c r="AH62" s="1242"/>
      <c r="AI62" s="1242"/>
      <c r="AJ62" s="1242"/>
      <c r="AK62" s="1242"/>
      <c r="AL62" s="1242"/>
      <c r="AM62" s="1242"/>
      <c r="AN62" s="1242"/>
      <c r="AO62" s="1242"/>
      <c r="AP62" s="2204"/>
      <c r="AQ62" s="2204"/>
      <c r="AR62" s="2204"/>
      <c r="AS62" s="2204"/>
      <c r="AT62" s="2204"/>
      <c r="AU62" s="2204"/>
      <c r="AV62" s="2204"/>
      <c r="AW62" s="2204"/>
      <c r="AX62" s="2204"/>
      <c r="AY62" s="2204"/>
      <c r="AZ62" s="2204"/>
      <c r="BA62" s="2204"/>
      <c r="BB62" s="2204"/>
      <c r="BC62" s="2204"/>
      <c r="BD62" s="2204"/>
      <c r="BE62" s="2204"/>
      <c r="BF62" s="2204"/>
      <c r="BG62" s="2204"/>
      <c r="BH62" s="2204"/>
      <c r="BI62" s="2204"/>
      <c r="BJ62" s="2204"/>
      <c r="BK62" s="2204"/>
      <c r="BL62" s="2204"/>
      <c r="BM62" s="2204"/>
      <c r="BN62" s="2204"/>
      <c r="BO62" s="2204"/>
      <c r="BP62" s="2204"/>
      <c r="BQ62" s="2204"/>
      <c r="BR62" s="2204"/>
      <c r="BS62" s="2204"/>
      <c r="BT62" s="2204"/>
      <c r="BU62" s="2204"/>
      <c r="BV62" s="2204"/>
      <c r="BW62" s="2204"/>
      <c r="BX62" s="2204"/>
      <c r="BY62" s="2204"/>
      <c r="BZ62" s="2204"/>
      <c r="CA62" s="2204"/>
      <c r="CB62" s="2204"/>
      <c r="CC62" s="2204"/>
      <c r="CD62" s="2204"/>
      <c r="CE62" s="2204"/>
      <c r="CF62" s="2204"/>
      <c r="CG62" s="2204"/>
      <c r="CH62" s="2204"/>
      <c r="CI62" s="1242"/>
      <c r="CJ62" s="1242"/>
      <c r="CL62" s="706"/>
      <c r="CM62" s="706" t="str">
        <f t="shared" si="2"/>
        <v>Добавить источник для дифференциации</v>
      </c>
      <c r="CN62" s="706"/>
      <c r="CO62" s="706"/>
    </row>
    <row r="63" spans="1:93" s="2067" customFormat="1" ht="0" hidden="1" customHeight="1">
      <c r="A63" s="1291" t="s">
        <v>295</v>
      </c>
      <c r="B63" s="1291" t="s">
        <v>296</v>
      </c>
      <c r="C63" s="1290"/>
      <c r="D63" s="1290"/>
      <c r="E63" s="6794"/>
      <c r="F63" s="6793"/>
      <c r="G63" s="1290"/>
      <c r="H63" s="1290"/>
      <c r="I63" s="1290"/>
      <c r="J63" s="1290"/>
      <c r="K63" s="1290"/>
      <c r="L63" s="1290"/>
      <c r="M63" s="1293"/>
      <c r="N63" s="1295"/>
      <c r="O63" s="1295"/>
      <c r="P63" s="276"/>
      <c r="Q63" s="1234"/>
      <c r="R63" s="1235"/>
      <c r="S63" s="1234"/>
      <c r="T63" s="1234"/>
      <c r="U63" s="1240"/>
      <c r="V63" s="1243" t="s">
        <v>229</v>
      </c>
      <c r="W63" s="1242"/>
      <c r="X63" s="1242"/>
      <c r="Y63" s="1242"/>
      <c r="Z63" s="1242"/>
      <c r="AA63" s="1242"/>
      <c r="AB63" s="1242"/>
      <c r="AC63" s="1242"/>
      <c r="AD63" s="1242"/>
      <c r="AE63" s="1242"/>
      <c r="AF63" s="1242"/>
      <c r="AG63" s="1242"/>
      <c r="AH63" s="1242"/>
      <c r="AI63" s="1242"/>
      <c r="AJ63" s="1242"/>
      <c r="AK63" s="1242"/>
      <c r="AL63" s="1242"/>
      <c r="AM63" s="1242"/>
      <c r="AN63" s="1242"/>
      <c r="AO63" s="1242"/>
      <c r="AP63" s="2204"/>
      <c r="AQ63" s="2204"/>
      <c r="AR63" s="2204"/>
      <c r="AS63" s="2204"/>
      <c r="AT63" s="2204"/>
      <c r="AU63" s="2204"/>
      <c r="AV63" s="2204"/>
      <c r="AW63" s="2204"/>
      <c r="AX63" s="2204"/>
      <c r="AY63" s="2204"/>
      <c r="AZ63" s="2204"/>
      <c r="BA63" s="2204"/>
      <c r="BB63" s="2204"/>
      <c r="BC63" s="2204"/>
      <c r="BD63" s="2204"/>
      <c r="BE63" s="2204"/>
      <c r="BF63" s="2204"/>
      <c r="BG63" s="2204"/>
      <c r="BH63" s="2204"/>
      <c r="BI63" s="2204"/>
      <c r="BJ63" s="2204"/>
      <c r="BK63" s="2204"/>
      <c r="BL63" s="2204"/>
      <c r="BM63" s="2204"/>
      <c r="BN63" s="2204"/>
      <c r="BO63" s="2204"/>
      <c r="BP63" s="2204"/>
      <c r="BQ63" s="2204"/>
      <c r="BR63" s="2204"/>
      <c r="BS63" s="2204"/>
      <c r="BT63" s="2204"/>
      <c r="BU63" s="2204"/>
      <c r="BV63" s="2204"/>
      <c r="BW63" s="2204"/>
      <c r="BX63" s="2204"/>
      <c r="BY63" s="2204"/>
      <c r="BZ63" s="2204"/>
      <c r="CA63" s="2204"/>
      <c r="CB63" s="2204"/>
      <c r="CC63" s="2204"/>
      <c r="CD63" s="2204"/>
      <c r="CE63" s="2204"/>
      <c r="CF63" s="2204"/>
      <c r="CG63" s="2204"/>
      <c r="CH63" s="2204"/>
      <c r="CI63" s="1242"/>
      <c r="CJ63" s="1242"/>
      <c r="CL63" s="706"/>
      <c r="CM63" s="706" t="str">
        <f t="shared" si="2"/>
        <v>Добавить централизованную систему для дифференциации</v>
      </c>
      <c r="CN63" s="706"/>
      <c r="CO63" s="706"/>
    </row>
    <row r="64" spans="1:93" s="5885" customFormat="1" ht="21" customHeight="1">
      <c r="A64" s="1871"/>
      <c r="B64" s="1871" t="s">
        <v>299</v>
      </c>
      <c r="C64" s="1871"/>
      <c r="D64" s="1871"/>
      <c r="E64" s="6794"/>
      <c r="F64" s="6793" t="s">
        <v>98</v>
      </c>
      <c r="G64" s="1871"/>
      <c r="H64" s="1871"/>
      <c r="I64" s="1871"/>
      <c r="J64" s="1871"/>
      <c r="K64" s="1871"/>
      <c r="L64" s="1871"/>
      <c r="M64" s="5886"/>
      <c r="N64" s="5887"/>
      <c r="O64" s="5887"/>
      <c r="P64" s="5887"/>
      <c r="Q64" s="2338"/>
      <c r="R64" s="2339"/>
      <c r="S64" s="2077"/>
      <c r="T64" s="2340"/>
      <c r="U64" s="2341" t="str">
        <f>INDEX(PT_DIFFERENTIATION_NUM_TER,MATCH(B64,PT_DIFFERENTIATION_TER_ID,0))</f>
        <v>1.2</v>
      </c>
      <c r="V64" s="2342" t="s">
        <v>517</v>
      </c>
      <c r="W64" s="2343"/>
      <c r="X64" s="6749"/>
      <c r="Y64" s="6750"/>
      <c r="Z64" s="6750"/>
      <c r="AA64" s="6750"/>
      <c r="AB64" s="6750"/>
      <c r="AC64" s="6750"/>
      <c r="AD64" s="6750"/>
      <c r="AE64" s="6750"/>
      <c r="AF64" s="6751"/>
      <c r="AG64" s="6749" t="str">
        <f>INDEX(PT_DIFFERENTIATION_TER,MATCH(B64,PT_DIFFERENTIATION_TER_ID,0))</f>
        <v>Территория 7</v>
      </c>
      <c r="AH64" s="6750"/>
      <c r="AI64" s="6750"/>
      <c r="AJ64" s="6750"/>
      <c r="AK64" s="6750"/>
      <c r="AL64" s="6750"/>
      <c r="AM64" s="6750"/>
      <c r="AN64" s="6750"/>
      <c r="AO64" s="6750"/>
      <c r="AP64" s="6749"/>
      <c r="AQ64" s="6750"/>
      <c r="AR64" s="6750"/>
      <c r="AS64" s="6750"/>
      <c r="AT64" s="6750"/>
      <c r="AU64" s="6750"/>
      <c r="AV64" s="6750"/>
      <c r="AW64" s="6750"/>
      <c r="AX64" s="6751"/>
      <c r="AY64" s="6749"/>
      <c r="AZ64" s="6750"/>
      <c r="BA64" s="6750"/>
      <c r="BB64" s="6750"/>
      <c r="BC64" s="6750"/>
      <c r="BD64" s="6750"/>
      <c r="BE64" s="6750"/>
      <c r="BF64" s="6750"/>
      <c r="BG64" s="6751"/>
      <c r="BH64" s="6749"/>
      <c r="BI64" s="6750"/>
      <c r="BJ64" s="6750"/>
      <c r="BK64" s="6750"/>
      <c r="BL64" s="6750"/>
      <c r="BM64" s="6750"/>
      <c r="BN64" s="6750"/>
      <c r="BO64" s="6750"/>
      <c r="BP64" s="6751"/>
      <c r="BQ64" s="6749"/>
      <c r="BR64" s="6750"/>
      <c r="BS64" s="6750"/>
      <c r="BT64" s="6750"/>
      <c r="BU64" s="6750"/>
      <c r="BV64" s="6750"/>
      <c r="BW64" s="6750"/>
      <c r="BX64" s="6750"/>
      <c r="BY64" s="6751"/>
      <c r="BZ64" s="6749"/>
      <c r="CA64" s="6750"/>
      <c r="CB64" s="6750"/>
      <c r="CC64" s="6750"/>
      <c r="CD64" s="6750"/>
      <c r="CE64" s="6750"/>
      <c r="CF64" s="6750"/>
      <c r="CG64" s="6750"/>
      <c r="CH64" s="6751"/>
      <c r="CI64" s="6751"/>
      <c r="CJ64" s="2344" t="s">
        <v>518</v>
      </c>
      <c r="CK64" s="2211"/>
      <c r="CL64" s="2345"/>
      <c r="CM64" s="2345" t="str">
        <f t="shared" si="2"/>
        <v>Территория действия тарифа</v>
      </c>
      <c r="CN64" s="2345"/>
      <c r="CO64" s="2345"/>
    </row>
    <row r="65" spans="1:93" s="5888" customFormat="1" ht="22.5" customHeight="1">
      <c r="A65" s="1871"/>
      <c r="B65" s="1871"/>
      <c r="C65" s="1871" t="s">
        <v>300</v>
      </c>
      <c r="D65" s="1871"/>
      <c r="E65" s="6794"/>
      <c r="F65" s="6794">
        <v>1</v>
      </c>
      <c r="G65" s="6793">
        <v>1</v>
      </c>
      <c r="H65" s="1871"/>
      <c r="I65" s="1871"/>
      <c r="J65" s="1871"/>
      <c r="K65" s="1871"/>
      <c r="L65" s="1871"/>
      <c r="M65" s="5886"/>
      <c r="N65" s="5887"/>
      <c r="O65" s="5887"/>
      <c r="P65" s="5887"/>
      <c r="Q65" s="2347"/>
      <c r="R65" s="2339"/>
      <c r="S65" s="2077"/>
      <c r="T65" s="2340"/>
      <c r="U65" s="2341" t="str">
        <f>INDEX(PT_DIFFERENTIATION_NUM_CS,MATCH(C65,PT_DIFFERENTIATION_CS_ID,0))</f>
        <v>1.2.1</v>
      </c>
      <c r="V65" s="2348" t="s">
        <v>519</v>
      </c>
      <c r="W65" s="2343"/>
      <c r="X65" s="6749"/>
      <c r="Y65" s="6750"/>
      <c r="Z65" s="6750"/>
      <c r="AA65" s="6750"/>
      <c r="AB65" s="6750"/>
      <c r="AC65" s="6750"/>
      <c r="AD65" s="6750"/>
      <c r="AE65" s="6750"/>
      <c r="AF65" s="6751"/>
      <c r="AG65" s="6749" t="str">
        <f>INDEX(PT_DIFFERENTIATION_CS,MATCH(C65,PT_DIFFERENTIATION_CS_ID,0))</f>
        <v>без дифференциации</v>
      </c>
      <c r="AH65" s="6750"/>
      <c r="AI65" s="6750"/>
      <c r="AJ65" s="6750"/>
      <c r="AK65" s="6750"/>
      <c r="AL65" s="6750"/>
      <c r="AM65" s="6750"/>
      <c r="AN65" s="6750"/>
      <c r="AO65" s="6750"/>
      <c r="AP65" s="6749"/>
      <c r="AQ65" s="6750"/>
      <c r="AR65" s="6750"/>
      <c r="AS65" s="6750"/>
      <c r="AT65" s="6750"/>
      <c r="AU65" s="6750"/>
      <c r="AV65" s="6750"/>
      <c r="AW65" s="6750"/>
      <c r="AX65" s="6751"/>
      <c r="AY65" s="6749"/>
      <c r="AZ65" s="6750"/>
      <c r="BA65" s="6750"/>
      <c r="BB65" s="6750"/>
      <c r="BC65" s="6750"/>
      <c r="BD65" s="6750"/>
      <c r="BE65" s="6750"/>
      <c r="BF65" s="6750"/>
      <c r="BG65" s="6751"/>
      <c r="BH65" s="6749"/>
      <c r="BI65" s="6750"/>
      <c r="BJ65" s="6750"/>
      <c r="BK65" s="6750"/>
      <c r="BL65" s="6750"/>
      <c r="BM65" s="6750"/>
      <c r="BN65" s="6750"/>
      <c r="BO65" s="6750"/>
      <c r="BP65" s="6751"/>
      <c r="BQ65" s="6749"/>
      <c r="BR65" s="6750"/>
      <c r="BS65" s="6750"/>
      <c r="BT65" s="6750"/>
      <c r="BU65" s="6750"/>
      <c r="BV65" s="6750"/>
      <c r="BW65" s="6750"/>
      <c r="BX65" s="6750"/>
      <c r="BY65" s="6751"/>
      <c r="BZ65" s="6749"/>
      <c r="CA65" s="6750"/>
      <c r="CB65" s="6750"/>
      <c r="CC65" s="6750"/>
      <c r="CD65" s="6750"/>
      <c r="CE65" s="6750"/>
      <c r="CF65" s="6750"/>
      <c r="CG65" s="6750"/>
      <c r="CH65" s="6751"/>
      <c r="CI65" s="6751"/>
      <c r="CJ65" s="2344" t="s">
        <v>520</v>
      </c>
      <c r="CK65" s="2211"/>
      <c r="CL65" s="2345"/>
      <c r="CM65" s="2345" t="str">
        <f t="shared" si="2"/>
        <v xml:space="preserve">Наименование системы теплоснабжения </v>
      </c>
      <c r="CN65" s="2345"/>
      <c r="CO65" s="2345"/>
    </row>
    <row r="66" spans="1:93" s="5889" customFormat="1" ht="21" customHeight="1">
      <c r="A66" s="1871"/>
      <c r="B66" s="1871"/>
      <c r="C66" s="1871"/>
      <c r="D66" s="1871" t="s">
        <v>301</v>
      </c>
      <c r="E66" s="6794"/>
      <c r="F66" s="6794">
        <v>1</v>
      </c>
      <c r="G66" s="6794"/>
      <c r="H66" s="6793">
        <v>1</v>
      </c>
      <c r="I66" s="1871"/>
      <c r="J66" s="1871"/>
      <c r="K66" s="1871"/>
      <c r="L66" s="1871"/>
      <c r="M66" s="5886"/>
      <c r="N66" s="5887"/>
      <c r="O66" s="5887"/>
      <c r="P66" s="5887"/>
      <c r="Q66" s="2347"/>
      <c r="R66" s="2339"/>
      <c r="S66" s="2077"/>
      <c r="T66" s="2340"/>
      <c r="U66" s="2341" t="str">
        <f>INDEX(PT_DIFFERENTIATION_NUM_IST_TE,MATCH(D66,PT_DIFFERENTIATION_IST_TE_ID,0))</f>
        <v>1.2.1.1</v>
      </c>
      <c r="V66" s="2350" t="s">
        <v>521</v>
      </c>
      <c r="W66" s="2343"/>
      <c r="X66" s="6749"/>
      <c r="Y66" s="6750"/>
      <c r="Z66" s="6750"/>
      <c r="AA66" s="6750"/>
      <c r="AB66" s="6750"/>
      <c r="AC66" s="6750"/>
      <c r="AD66" s="6750"/>
      <c r="AE66" s="6750"/>
      <c r="AF66" s="6751"/>
      <c r="AG66" s="6749" t="str">
        <f>INDEX(PT_DIFFERENTIATION_IST_TE,MATCH(D66,PT_DIFFERENTIATION_IST_TE_ID,0))</f>
        <v>без дифференциации</v>
      </c>
      <c r="AH66" s="6750"/>
      <c r="AI66" s="6750"/>
      <c r="AJ66" s="6750"/>
      <c r="AK66" s="6750"/>
      <c r="AL66" s="6750"/>
      <c r="AM66" s="6750"/>
      <c r="AN66" s="6750"/>
      <c r="AO66" s="6750"/>
      <c r="AP66" s="6749"/>
      <c r="AQ66" s="6750"/>
      <c r="AR66" s="6750"/>
      <c r="AS66" s="6750"/>
      <c r="AT66" s="6750"/>
      <c r="AU66" s="6750"/>
      <c r="AV66" s="6750"/>
      <c r="AW66" s="6750"/>
      <c r="AX66" s="6751"/>
      <c r="AY66" s="6749"/>
      <c r="AZ66" s="6750"/>
      <c r="BA66" s="6750"/>
      <c r="BB66" s="6750"/>
      <c r="BC66" s="6750"/>
      <c r="BD66" s="6750"/>
      <c r="BE66" s="6750"/>
      <c r="BF66" s="6750"/>
      <c r="BG66" s="6751"/>
      <c r="BH66" s="6749"/>
      <c r="BI66" s="6750"/>
      <c r="BJ66" s="6750"/>
      <c r="BK66" s="6750"/>
      <c r="BL66" s="6750"/>
      <c r="BM66" s="6750"/>
      <c r="BN66" s="6750"/>
      <c r="BO66" s="6750"/>
      <c r="BP66" s="6751"/>
      <c r="BQ66" s="6749"/>
      <c r="BR66" s="6750"/>
      <c r="BS66" s="6750"/>
      <c r="BT66" s="6750"/>
      <c r="BU66" s="6750"/>
      <c r="BV66" s="6750"/>
      <c r="BW66" s="6750"/>
      <c r="BX66" s="6750"/>
      <c r="BY66" s="6751"/>
      <c r="BZ66" s="6749"/>
      <c r="CA66" s="6750"/>
      <c r="CB66" s="6750"/>
      <c r="CC66" s="6750"/>
      <c r="CD66" s="6750"/>
      <c r="CE66" s="6750"/>
      <c r="CF66" s="6750"/>
      <c r="CG66" s="6750"/>
      <c r="CH66" s="6751"/>
      <c r="CI66" s="6751"/>
      <c r="CJ66" s="2344" t="s">
        <v>522</v>
      </c>
      <c r="CK66" s="2211"/>
      <c r="CL66" s="2345"/>
      <c r="CM66" s="2345" t="str">
        <f t="shared" si="2"/>
        <v xml:space="preserve">Источник тепловой энергии  </v>
      </c>
      <c r="CN66" s="2345"/>
      <c r="CO66" s="2345"/>
    </row>
    <row r="67" spans="1:93" s="5890" customFormat="1" ht="14.25" customHeight="1">
      <c r="A67" s="1871"/>
      <c r="B67" s="1871"/>
      <c r="C67" s="1871"/>
      <c r="D67" s="1871"/>
      <c r="E67" s="6794"/>
      <c r="F67" s="6794">
        <v>1</v>
      </c>
      <c r="G67" s="6794"/>
      <c r="H67" s="6794"/>
      <c r="I67" s="6629" t="str">
        <f>U66&amp;".1"</f>
        <v>1.2.1.1.1</v>
      </c>
      <c r="J67" s="1871"/>
      <c r="K67" s="1871"/>
      <c r="L67" s="1871"/>
      <c r="M67" s="5886" t="s">
        <v>523</v>
      </c>
      <c r="N67" s="2077"/>
      <c r="O67" s="5891"/>
      <c r="P67" s="5891"/>
      <c r="Q67" s="6762">
        <v>1</v>
      </c>
      <c r="R67" s="2353"/>
      <c r="S67" s="2353"/>
      <c r="T67" s="2354"/>
      <c r="U67" s="5254"/>
      <c r="V67" s="5255"/>
      <c r="W67" s="5256"/>
      <c r="X67" s="6790"/>
      <c r="Y67" s="6791"/>
      <c r="Z67" s="6791"/>
      <c r="AA67" s="6791"/>
      <c r="AB67" s="6791"/>
      <c r="AC67" s="6791"/>
      <c r="AD67" s="6791"/>
      <c r="AE67" s="6791"/>
      <c r="AF67" s="6792"/>
      <c r="AG67" s="6790"/>
      <c r="AH67" s="6791"/>
      <c r="AI67" s="6791"/>
      <c r="AJ67" s="6791"/>
      <c r="AK67" s="6791"/>
      <c r="AL67" s="6791"/>
      <c r="AM67" s="6791"/>
      <c r="AN67" s="6791"/>
      <c r="AO67" s="6791"/>
      <c r="AP67" s="6790"/>
      <c r="AQ67" s="6791"/>
      <c r="AR67" s="6791"/>
      <c r="AS67" s="6791"/>
      <c r="AT67" s="6791"/>
      <c r="AU67" s="6791"/>
      <c r="AV67" s="6791"/>
      <c r="AW67" s="6791"/>
      <c r="AX67" s="6792"/>
      <c r="AY67" s="6790"/>
      <c r="AZ67" s="6791"/>
      <c r="BA67" s="6791"/>
      <c r="BB67" s="6791"/>
      <c r="BC67" s="6791"/>
      <c r="BD67" s="6791"/>
      <c r="BE67" s="6791"/>
      <c r="BF67" s="6791"/>
      <c r="BG67" s="6792"/>
      <c r="BH67" s="6790"/>
      <c r="BI67" s="6791"/>
      <c r="BJ67" s="6791"/>
      <c r="BK67" s="6791"/>
      <c r="BL67" s="6791"/>
      <c r="BM67" s="6791"/>
      <c r="BN67" s="6791"/>
      <c r="BO67" s="6791"/>
      <c r="BP67" s="6792"/>
      <c r="BQ67" s="6790"/>
      <c r="BR67" s="6791"/>
      <c r="BS67" s="6791"/>
      <c r="BT67" s="6791"/>
      <c r="BU67" s="6791"/>
      <c r="BV67" s="6791"/>
      <c r="BW67" s="6791"/>
      <c r="BX67" s="6791"/>
      <c r="BY67" s="6792"/>
      <c r="BZ67" s="6790"/>
      <c r="CA67" s="6791"/>
      <c r="CB67" s="6791"/>
      <c r="CC67" s="6791"/>
      <c r="CD67" s="6791"/>
      <c r="CE67" s="6791"/>
      <c r="CF67" s="6791"/>
      <c r="CG67" s="6791"/>
      <c r="CH67" s="6792"/>
      <c r="CI67" s="6792"/>
      <c r="CJ67" s="5257"/>
      <c r="CK67" s="2211"/>
      <c r="CL67" s="2345"/>
      <c r="CM67" s="2345" t="str">
        <f t="shared" si="2"/>
        <v/>
      </c>
      <c r="CN67" s="2345"/>
      <c r="CO67" s="2345"/>
    </row>
    <row r="68" spans="1:93" s="5892" customFormat="1" ht="21" customHeight="1">
      <c r="A68" s="1871"/>
      <c r="B68" s="1871"/>
      <c r="C68" s="1871"/>
      <c r="D68" s="1871"/>
      <c r="E68" s="6794"/>
      <c r="F68" s="6794">
        <v>1</v>
      </c>
      <c r="G68" s="6794"/>
      <c r="H68" s="6794"/>
      <c r="I68" s="6600"/>
      <c r="J68" s="6629" t="str">
        <f>I67&amp;".1"</f>
        <v>1.2.1.1.1.1</v>
      </c>
      <c r="K68" s="1871"/>
      <c r="L68" s="1871"/>
      <c r="M68" s="5886" t="s">
        <v>526</v>
      </c>
      <c r="N68" s="2077"/>
      <c r="O68" s="2077"/>
      <c r="P68" s="5891"/>
      <c r="Q68" s="6762"/>
      <c r="R68" s="6762">
        <v>1</v>
      </c>
      <c r="S68" s="2211"/>
      <c r="T68" s="2357"/>
      <c r="U68" s="2341" t="str">
        <f>$J68</f>
        <v>1.2.1.1.1.1</v>
      </c>
      <c r="V68" s="2358" t="s">
        <v>527</v>
      </c>
      <c r="W68" s="2343"/>
      <c r="X68" s="6752"/>
      <c r="Y68" s="6753"/>
      <c r="Z68" s="6753"/>
      <c r="AA68" s="6753"/>
      <c r="AB68" s="6753"/>
      <c r="AC68" s="6745"/>
      <c r="AD68" s="6745"/>
      <c r="AE68" s="6745"/>
      <c r="AF68" s="6795"/>
      <c r="AG68" s="6752" t="s">
        <v>566</v>
      </c>
      <c r="AH68" s="6753"/>
      <c r="AI68" s="6753"/>
      <c r="AJ68" s="6753"/>
      <c r="AK68" s="6753"/>
      <c r="AL68" s="6753"/>
      <c r="AM68" s="6753"/>
      <c r="AN68" s="6753"/>
      <c r="AO68" s="6753"/>
      <c r="AP68" s="6752"/>
      <c r="AQ68" s="6753"/>
      <c r="AR68" s="6753"/>
      <c r="AS68" s="6753"/>
      <c r="AT68" s="6753"/>
      <c r="AU68" s="6745"/>
      <c r="AV68" s="6745"/>
      <c r="AW68" s="6745"/>
      <c r="AX68" s="6795"/>
      <c r="AY68" s="6752"/>
      <c r="AZ68" s="6753"/>
      <c r="BA68" s="6753"/>
      <c r="BB68" s="6753"/>
      <c r="BC68" s="6753"/>
      <c r="BD68" s="6745"/>
      <c r="BE68" s="6745"/>
      <c r="BF68" s="6745"/>
      <c r="BG68" s="6795"/>
      <c r="BH68" s="6752"/>
      <c r="BI68" s="6753"/>
      <c r="BJ68" s="6753"/>
      <c r="BK68" s="6753"/>
      <c r="BL68" s="6753"/>
      <c r="BM68" s="6745"/>
      <c r="BN68" s="6745"/>
      <c r="BO68" s="6745"/>
      <c r="BP68" s="6795"/>
      <c r="BQ68" s="6752"/>
      <c r="BR68" s="6753"/>
      <c r="BS68" s="6753"/>
      <c r="BT68" s="6753"/>
      <c r="BU68" s="6753"/>
      <c r="BV68" s="6745"/>
      <c r="BW68" s="6745"/>
      <c r="BX68" s="6745"/>
      <c r="BY68" s="6795"/>
      <c r="BZ68" s="6752"/>
      <c r="CA68" s="6753"/>
      <c r="CB68" s="6753"/>
      <c r="CC68" s="6753"/>
      <c r="CD68" s="6753"/>
      <c r="CE68" s="6745"/>
      <c r="CF68" s="6745"/>
      <c r="CG68" s="6745"/>
      <c r="CH68" s="6795"/>
      <c r="CI68" s="6754"/>
      <c r="CJ68" s="2344" t="s">
        <v>528</v>
      </c>
      <c r="CK68" s="2211"/>
      <c r="CL68" s="2345"/>
      <c r="CM68" s="2345" t="str">
        <f t="shared" si="2"/>
        <v>Группа потребителей</v>
      </c>
      <c r="CN68" s="2345"/>
      <c r="CO68" s="2345"/>
    </row>
    <row r="69" spans="1:93" s="5893" customFormat="1" ht="21" customHeight="1">
      <c r="A69" s="1871"/>
      <c r="B69" s="1871"/>
      <c r="C69" s="1871"/>
      <c r="D69" s="1871"/>
      <c r="E69" s="6794"/>
      <c r="F69" s="6794">
        <v>1</v>
      </c>
      <c r="G69" s="6794"/>
      <c r="H69" s="6794"/>
      <c r="I69" s="6600"/>
      <c r="J69" s="6600"/>
      <c r="K69" s="6629" t="str">
        <f>J68&amp;".1"</f>
        <v>1.2.1.1.1.1.1</v>
      </c>
      <c r="L69" s="2338"/>
      <c r="M69" s="5886" t="s">
        <v>529</v>
      </c>
      <c r="N69" s="2077"/>
      <c r="O69" s="2077"/>
      <c r="P69" s="2077"/>
      <c r="Q69" s="6762"/>
      <c r="R69" s="6762"/>
      <c r="S69" s="6762">
        <v>1</v>
      </c>
      <c r="T69" s="2357"/>
      <c r="U69" s="2341" t="str">
        <f>$K69</f>
        <v>1.2.1.1.1.1.1</v>
      </c>
      <c r="V69" s="2360" t="s">
        <v>567</v>
      </c>
      <c r="W69" s="2343"/>
      <c r="X69" s="2078"/>
      <c r="Y69" s="2078"/>
      <c r="Z69" s="2078"/>
      <c r="AA69" s="2078"/>
      <c r="AB69" s="5656"/>
      <c r="AC69" s="6766"/>
      <c r="AD69" s="6610" t="s">
        <v>61</v>
      </c>
      <c r="AE69" s="6766"/>
      <c r="AF69" s="6610" t="s">
        <v>61</v>
      </c>
      <c r="AG69" s="5894"/>
      <c r="AH69" s="2078">
        <v>49.65</v>
      </c>
      <c r="AI69" s="2078">
        <v>2063.4499999999998</v>
      </c>
      <c r="AJ69" s="2078"/>
      <c r="AK69" s="2080"/>
      <c r="AL69" s="6766">
        <v>45292.750625000001</v>
      </c>
      <c r="AM69" s="6610" t="s">
        <v>61</v>
      </c>
      <c r="AN69" s="6766">
        <v>45473.750740740739</v>
      </c>
      <c r="AO69" s="6610" t="s">
        <v>61</v>
      </c>
      <c r="AP69" s="2078"/>
      <c r="AQ69" s="2078">
        <v>50.55</v>
      </c>
      <c r="AR69" s="2078">
        <v>2063.4499999999998</v>
      </c>
      <c r="AS69" s="2078"/>
      <c r="AT69" s="5656"/>
      <c r="AU69" s="6766">
        <v>45474.751030092593</v>
      </c>
      <c r="AV69" s="6610" t="s">
        <v>61</v>
      </c>
      <c r="AW69" s="6766">
        <v>45838.751527777778</v>
      </c>
      <c r="AX69" s="6610" t="s">
        <v>61</v>
      </c>
      <c r="AY69" s="2078"/>
      <c r="AZ69" s="2078">
        <v>52.6</v>
      </c>
      <c r="BA69" s="2078">
        <v>2325.1799999999998</v>
      </c>
      <c r="BB69" s="2078"/>
      <c r="BC69" s="5656"/>
      <c r="BD69" s="6766">
        <v>45839.751944444448</v>
      </c>
      <c r="BE69" s="6610" t="s">
        <v>61</v>
      </c>
      <c r="BF69" s="6766">
        <v>46203.752210648148</v>
      </c>
      <c r="BG69" s="6610" t="s">
        <v>61</v>
      </c>
      <c r="BH69" s="2078"/>
      <c r="BI69" s="2078">
        <v>54.51</v>
      </c>
      <c r="BJ69" s="2078">
        <v>2404.39</v>
      </c>
      <c r="BK69" s="2078"/>
      <c r="BL69" s="5656"/>
      <c r="BM69" s="6766">
        <v>46204.752488425926</v>
      </c>
      <c r="BN69" s="6610" t="s">
        <v>61</v>
      </c>
      <c r="BO69" s="6766">
        <v>46568.752696759257</v>
      </c>
      <c r="BP69" s="6610" t="s">
        <v>61</v>
      </c>
      <c r="BQ69" s="2078"/>
      <c r="BR69" s="2078">
        <v>56.5</v>
      </c>
      <c r="BS69" s="2078">
        <v>2487.8000000000002</v>
      </c>
      <c r="BT69" s="2078"/>
      <c r="BU69" s="5656"/>
      <c r="BV69" s="6766">
        <v>46569.75341435185</v>
      </c>
      <c r="BW69" s="6610" t="s">
        <v>61</v>
      </c>
      <c r="BX69" s="6766">
        <v>46934.75372685185</v>
      </c>
      <c r="BY69" s="6610" t="s">
        <v>61</v>
      </c>
      <c r="BZ69" s="2078"/>
      <c r="CA69" s="2078">
        <v>58.56</v>
      </c>
      <c r="CB69" s="2078">
        <v>2574.25</v>
      </c>
      <c r="CC69" s="2078"/>
      <c r="CD69" s="5656"/>
      <c r="CE69" s="6766">
        <v>46935.754282407404</v>
      </c>
      <c r="CF69" s="6610" t="s">
        <v>61</v>
      </c>
      <c r="CG69" s="6766">
        <v>47118.75445601852</v>
      </c>
      <c r="CH69" s="6610" t="s">
        <v>61</v>
      </c>
      <c r="CI69" s="2079"/>
      <c r="CJ69" s="5895" t="s">
        <v>570</v>
      </c>
      <c r="CK69" s="2211" t="e">
        <f ca="1">STRCHECKDATE(X71:CI71)</f>
        <v>#NAME?</v>
      </c>
      <c r="CL69" s="2345"/>
      <c r="CM69" s="2345" t="str">
        <f t="shared" si="2"/>
        <v>вода</v>
      </c>
      <c r="CN69" s="2345"/>
      <c r="CO69" s="2345"/>
    </row>
    <row r="70" spans="1:93" s="5896" customFormat="1" ht="21" customHeight="1">
      <c r="A70" s="1871"/>
      <c r="B70" s="1871"/>
      <c r="C70" s="1871"/>
      <c r="D70" s="1871"/>
      <c r="E70" s="6794"/>
      <c r="F70" s="6794">
        <v>1</v>
      </c>
      <c r="G70" s="6794"/>
      <c r="H70" s="6794"/>
      <c r="I70" s="6600"/>
      <c r="J70" s="6600"/>
      <c r="K70" s="6600"/>
      <c r="L70" s="6629" t="str">
        <f>K69&amp;".1"</f>
        <v>1.2.1.1.1.1.1.1</v>
      </c>
      <c r="M70" s="5886"/>
      <c r="N70" s="2077"/>
      <c r="O70" s="2077"/>
      <c r="P70" s="2077"/>
      <c r="Q70" s="6762"/>
      <c r="R70" s="6762"/>
      <c r="S70" s="6762"/>
      <c r="T70" s="2357"/>
      <c r="U70" s="2341" t="str">
        <f>$L70</f>
        <v>1.2.1.1.1.1.1.1</v>
      </c>
      <c r="V70" s="5897"/>
      <c r="W70" s="2343"/>
      <c r="X70" s="2079"/>
      <c r="Y70" s="2078"/>
      <c r="Z70" s="2078"/>
      <c r="AA70" s="2078"/>
      <c r="AB70" s="5656"/>
      <c r="AC70" s="6767"/>
      <c r="AD70" s="6610"/>
      <c r="AE70" s="6767"/>
      <c r="AF70" s="6610"/>
      <c r="AG70" s="5894"/>
      <c r="AH70" s="2078"/>
      <c r="AI70" s="2078"/>
      <c r="AJ70" s="2078"/>
      <c r="AK70" s="2080"/>
      <c r="AL70" s="6767"/>
      <c r="AM70" s="6610"/>
      <c r="AN70" s="6767"/>
      <c r="AO70" s="6610"/>
      <c r="AP70" s="2079"/>
      <c r="AQ70" s="2078"/>
      <c r="AR70" s="2078"/>
      <c r="AS70" s="2078"/>
      <c r="AT70" s="5656"/>
      <c r="AU70" s="6767"/>
      <c r="AV70" s="6610"/>
      <c r="AW70" s="6767"/>
      <c r="AX70" s="6610"/>
      <c r="AY70" s="2079"/>
      <c r="AZ70" s="2078"/>
      <c r="BA70" s="2078"/>
      <c r="BB70" s="2078"/>
      <c r="BC70" s="5656"/>
      <c r="BD70" s="6767"/>
      <c r="BE70" s="6610"/>
      <c r="BF70" s="6767"/>
      <c r="BG70" s="6610"/>
      <c r="BH70" s="2079"/>
      <c r="BI70" s="2078"/>
      <c r="BJ70" s="2078"/>
      <c r="BK70" s="2078"/>
      <c r="BL70" s="5656"/>
      <c r="BM70" s="6767"/>
      <c r="BN70" s="6610"/>
      <c r="BO70" s="6767"/>
      <c r="BP70" s="6610"/>
      <c r="BQ70" s="2079"/>
      <c r="BR70" s="2078"/>
      <c r="BS70" s="2078"/>
      <c r="BT70" s="2078"/>
      <c r="BU70" s="5656"/>
      <c r="BV70" s="6767"/>
      <c r="BW70" s="6610"/>
      <c r="BX70" s="6767"/>
      <c r="BY70" s="6610"/>
      <c r="BZ70" s="2079"/>
      <c r="CA70" s="2078"/>
      <c r="CB70" s="2078"/>
      <c r="CC70" s="2078"/>
      <c r="CD70" s="5656"/>
      <c r="CE70" s="6767"/>
      <c r="CF70" s="6610"/>
      <c r="CG70" s="6767"/>
      <c r="CH70" s="6610"/>
      <c r="CI70" s="2079"/>
      <c r="CJ70" s="6758" t="s">
        <v>571</v>
      </c>
      <c r="CK70" s="2211"/>
      <c r="CL70" s="2345"/>
      <c r="CM70" s="2345"/>
      <c r="CN70" s="2345"/>
      <c r="CO70" s="2345"/>
    </row>
    <row r="71" spans="1:93" s="5898" customFormat="1" ht="14.25" customHeight="1">
      <c r="A71" s="1871"/>
      <c r="B71" s="1871"/>
      <c r="C71" s="1871"/>
      <c r="D71" s="1871"/>
      <c r="E71" s="6794"/>
      <c r="F71" s="6794">
        <v>1</v>
      </c>
      <c r="G71" s="6794"/>
      <c r="H71" s="6794"/>
      <c r="I71" s="6600"/>
      <c r="J71" s="6600"/>
      <c r="K71" s="6600"/>
      <c r="L71" s="6629"/>
      <c r="M71" s="5886"/>
      <c r="N71" s="2077"/>
      <c r="O71" s="2077"/>
      <c r="P71" s="2077"/>
      <c r="Q71" s="6762"/>
      <c r="R71" s="6762"/>
      <c r="S71" s="6762"/>
      <c r="T71" s="2357"/>
      <c r="U71" s="2362"/>
      <c r="V71" s="2343"/>
      <c r="W71" s="2343"/>
      <c r="X71" s="2079"/>
      <c r="Y71" s="2079"/>
      <c r="Z71" s="2079"/>
      <c r="AA71" s="2079"/>
      <c r="AB71" s="5657" t="str">
        <f>AC69&amp;"-"&amp;AE69</f>
        <v>-</v>
      </c>
      <c r="AC71" s="6767"/>
      <c r="AD71" s="6610"/>
      <c r="AE71" s="6767"/>
      <c r="AF71" s="6610"/>
      <c r="AG71" s="5899"/>
      <c r="AH71" s="2079"/>
      <c r="AI71" s="2079"/>
      <c r="AJ71" s="2079"/>
      <c r="AK71" s="2082" t="str">
        <f>AL69&amp;"-"&amp;AN69</f>
        <v>45292,750625-45473,7507407407</v>
      </c>
      <c r="AL71" s="6767"/>
      <c r="AM71" s="6610"/>
      <c r="AN71" s="6767"/>
      <c r="AO71" s="6610"/>
      <c r="AP71" s="2079"/>
      <c r="AQ71" s="2079"/>
      <c r="AR71" s="2079"/>
      <c r="AS71" s="2079"/>
      <c r="AT71" s="5657" t="str">
        <f>AU69&amp;"-"&amp;AW69</f>
        <v>45474,7510300925-45838,7515277778</v>
      </c>
      <c r="AU71" s="6767"/>
      <c r="AV71" s="6610"/>
      <c r="AW71" s="6767"/>
      <c r="AX71" s="6610"/>
      <c r="AY71" s="2079"/>
      <c r="AZ71" s="2079"/>
      <c r="BA71" s="2079"/>
      <c r="BB71" s="2079"/>
      <c r="BC71" s="5657" t="str">
        <f>BD69&amp;"-"&amp;BF69</f>
        <v>45839,7519444444-46203,7522106481</v>
      </c>
      <c r="BD71" s="6767"/>
      <c r="BE71" s="6610"/>
      <c r="BF71" s="6767"/>
      <c r="BG71" s="6610"/>
      <c r="BH71" s="2079"/>
      <c r="BI71" s="2079"/>
      <c r="BJ71" s="2079"/>
      <c r="BK71" s="2079"/>
      <c r="BL71" s="5657" t="str">
        <f>BM69&amp;"-"&amp;BO69</f>
        <v>46204,7524884259-46568,7526967593</v>
      </c>
      <c r="BM71" s="6767"/>
      <c r="BN71" s="6610"/>
      <c r="BO71" s="6767"/>
      <c r="BP71" s="6610"/>
      <c r="BQ71" s="2079"/>
      <c r="BR71" s="2079"/>
      <c r="BS71" s="2079"/>
      <c r="BT71" s="2079"/>
      <c r="BU71" s="5657" t="str">
        <f>BV69&amp;"-"&amp;BX69</f>
        <v>46569,7534143518-46934,7537268518</v>
      </c>
      <c r="BV71" s="6767"/>
      <c r="BW71" s="6610"/>
      <c r="BX71" s="6767"/>
      <c r="BY71" s="6610"/>
      <c r="BZ71" s="2079"/>
      <c r="CA71" s="2079"/>
      <c r="CB71" s="2079"/>
      <c r="CC71" s="2079"/>
      <c r="CD71" s="5657" t="str">
        <f>CE69&amp;"-"&amp;CG69</f>
        <v>46935,7542824074-47118,7544560185</v>
      </c>
      <c r="CE71" s="6767"/>
      <c r="CF71" s="6610"/>
      <c r="CG71" s="6767"/>
      <c r="CH71" s="6610"/>
      <c r="CI71" s="2079"/>
      <c r="CJ71" s="6759"/>
      <c r="CK71" s="2211"/>
      <c r="CL71" s="2345"/>
      <c r="CM71" s="2345" t="str">
        <f>IF(V71="","",V71)</f>
        <v/>
      </c>
      <c r="CN71" s="2345"/>
      <c r="CO71" s="2345"/>
    </row>
    <row r="72" spans="1:93" s="5900" customFormat="1" ht="11.25" customHeight="1">
      <c r="A72" s="1871"/>
      <c r="B72" s="1871"/>
      <c r="C72" s="1871"/>
      <c r="D72" s="1871"/>
      <c r="E72" s="6794"/>
      <c r="F72" s="6794">
        <v>1</v>
      </c>
      <c r="G72" s="6794"/>
      <c r="H72" s="6794"/>
      <c r="I72" s="6600"/>
      <c r="J72" s="6600"/>
      <c r="K72" s="6629"/>
      <c r="L72" s="1871"/>
      <c r="M72" s="5886"/>
      <c r="N72" s="2077"/>
      <c r="O72" s="2077"/>
      <c r="P72" s="2077"/>
      <c r="Q72" s="6762"/>
      <c r="R72" s="6762"/>
      <c r="S72" s="6762"/>
      <c r="T72" s="2357"/>
      <c r="U72" s="5901"/>
      <c r="V72" s="5902" t="s">
        <v>572</v>
      </c>
      <c r="W72" s="5903"/>
      <c r="X72" s="5904"/>
      <c r="Y72" s="5905"/>
      <c r="Z72" s="5906"/>
      <c r="AA72" s="5907"/>
      <c r="AB72" s="5908"/>
      <c r="AC72" s="6767"/>
      <c r="AD72" s="6610"/>
      <c r="AE72" s="6767"/>
      <c r="AF72" s="6610"/>
      <c r="AG72" s="5909"/>
      <c r="AH72" s="5910"/>
      <c r="AI72" s="5911"/>
      <c r="AJ72" s="5912"/>
      <c r="AK72" s="5913"/>
      <c r="AL72" s="6767"/>
      <c r="AM72" s="6610"/>
      <c r="AN72" s="6767"/>
      <c r="AO72" s="6610"/>
      <c r="AP72" s="5914"/>
      <c r="AQ72" s="5915"/>
      <c r="AR72" s="5916"/>
      <c r="AS72" s="5917"/>
      <c r="AT72" s="5918"/>
      <c r="AU72" s="6767"/>
      <c r="AV72" s="6610"/>
      <c r="AW72" s="6767"/>
      <c r="AX72" s="6610"/>
      <c r="AY72" s="5919"/>
      <c r="AZ72" s="5920"/>
      <c r="BA72" s="5921"/>
      <c r="BB72" s="5922"/>
      <c r="BC72" s="5923"/>
      <c r="BD72" s="6767"/>
      <c r="BE72" s="6610"/>
      <c r="BF72" s="6767"/>
      <c r="BG72" s="6610"/>
      <c r="BH72" s="5924"/>
      <c r="BI72" s="5925"/>
      <c r="BJ72" s="5926"/>
      <c r="BK72" s="5927"/>
      <c r="BL72" s="5928"/>
      <c r="BM72" s="6767"/>
      <c r="BN72" s="6610"/>
      <c r="BO72" s="6767"/>
      <c r="BP72" s="6610"/>
      <c r="BQ72" s="5929"/>
      <c r="BR72" s="5930"/>
      <c r="BS72" s="5931"/>
      <c r="BT72" s="5932"/>
      <c r="BU72" s="5933"/>
      <c r="BV72" s="6767"/>
      <c r="BW72" s="6610"/>
      <c r="BX72" s="6767"/>
      <c r="BY72" s="6610"/>
      <c r="BZ72" s="5934"/>
      <c r="CA72" s="5935"/>
      <c r="CB72" s="5936"/>
      <c r="CC72" s="5937"/>
      <c r="CD72" s="5938"/>
      <c r="CE72" s="6767"/>
      <c r="CF72" s="6610"/>
      <c r="CG72" s="6767"/>
      <c r="CH72" s="6610"/>
      <c r="CI72" s="5939"/>
      <c r="CJ72" s="6759"/>
      <c r="CK72" s="2211"/>
      <c r="CL72" s="2345"/>
      <c r="CM72" s="2345"/>
      <c r="CN72" s="2345"/>
      <c r="CO72" s="2345"/>
    </row>
    <row r="73" spans="1:93" s="5940" customFormat="1" ht="15" customHeight="1">
      <c r="A73" s="1871"/>
      <c r="B73" s="1871"/>
      <c r="C73" s="1871"/>
      <c r="D73" s="1871"/>
      <c r="E73" s="6794"/>
      <c r="F73" s="6794">
        <v>1</v>
      </c>
      <c r="G73" s="6794"/>
      <c r="H73" s="6794"/>
      <c r="I73" s="6600"/>
      <c r="J73" s="6629"/>
      <c r="K73" s="1871"/>
      <c r="L73" s="1871"/>
      <c r="M73" s="5886"/>
      <c r="N73" s="2077"/>
      <c r="O73" s="2077"/>
      <c r="P73" s="5891"/>
      <c r="Q73" s="6762"/>
      <c r="R73" s="6762"/>
      <c r="S73" s="2353"/>
      <c r="T73" s="2354"/>
      <c r="U73" s="5941"/>
      <c r="V73" s="5942" t="s">
        <v>531</v>
      </c>
      <c r="W73" s="5943"/>
      <c r="X73" s="5944"/>
      <c r="Y73" s="5945"/>
      <c r="Z73" s="5946"/>
      <c r="AA73" s="5947"/>
      <c r="AB73" s="5948"/>
      <c r="AC73" s="5949"/>
      <c r="AD73" s="5950"/>
      <c r="AE73" s="5951"/>
      <c r="AF73" s="5952"/>
      <c r="AG73" s="5953"/>
      <c r="AH73" s="5954"/>
      <c r="AI73" s="5955"/>
      <c r="AJ73" s="5956"/>
      <c r="AK73" s="5957"/>
      <c r="AL73" s="5958"/>
      <c r="AM73" s="5959"/>
      <c r="AN73" s="5960"/>
      <c r="AO73" s="5961"/>
      <c r="AP73" s="5962"/>
      <c r="AQ73" s="5963"/>
      <c r="AR73" s="5964"/>
      <c r="AS73" s="5965"/>
      <c r="AT73" s="5966"/>
      <c r="AU73" s="5967"/>
      <c r="AV73" s="5968"/>
      <c r="AW73" s="5969"/>
      <c r="AX73" s="5970"/>
      <c r="AY73" s="5971"/>
      <c r="AZ73" s="5972"/>
      <c r="BA73" s="5973"/>
      <c r="BB73" s="5974"/>
      <c r="BC73" s="5975"/>
      <c r="BD73" s="5976"/>
      <c r="BE73" s="5977"/>
      <c r="BF73" s="5978"/>
      <c r="BG73" s="5979"/>
      <c r="BH73" s="5980"/>
      <c r="BI73" s="5981"/>
      <c r="BJ73" s="5982"/>
      <c r="BK73" s="5983"/>
      <c r="BL73" s="5984"/>
      <c r="BM73" s="5985"/>
      <c r="BN73" s="5986"/>
      <c r="BO73" s="5987"/>
      <c r="BP73" s="5988"/>
      <c r="BQ73" s="5989"/>
      <c r="BR73" s="5990"/>
      <c r="BS73" s="5991"/>
      <c r="BT73" s="5992"/>
      <c r="BU73" s="5993"/>
      <c r="BV73" s="5994"/>
      <c r="BW73" s="5995"/>
      <c r="BX73" s="5996"/>
      <c r="BY73" s="5997"/>
      <c r="BZ73" s="5998"/>
      <c r="CA73" s="5999"/>
      <c r="CB73" s="6000"/>
      <c r="CC73" s="6001"/>
      <c r="CD73" s="6002"/>
      <c r="CE73" s="6003"/>
      <c r="CF73" s="6004"/>
      <c r="CG73" s="6005"/>
      <c r="CH73" s="6006"/>
      <c r="CI73" s="6007"/>
      <c r="CJ73" s="6760"/>
      <c r="CK73" s="2211"/>
      <c r="CL73" s="2345"/>
      <c r="CM73" s="2345" t="str">
        <f t="shared" ref="CM73:CM83" si="3">IF(V73="","",V73)</f>
        <v>Добавить вид теплоносителя (параметры теплоносителя)</v>
      </c>
      <c r="CN73" s="2345"/>
      <c r="CO73" s="2345"/>
    </row>
    <row r="74" spans="1:93" s="6008" customFormat="1" ht="11.25" customHeight="1">
      <c r="A74" s="1871"/>
      <c r="B74" s="1871"/>
      <c r="C74" s="1871"/>
      <c r="D74" s="1871"/>
      <c r="E74" s="6794"/>
      <c r="F74" s="6794">
        <v>1</v>
      </c>
      <c r="G74" s="6794"/>
      <c r="H74" s="6794"/>
      <c r="I74" s="6629"/>
      <c r="J74" s="1871"/>
      <c r="K74" s="1871"/>
      <c r="L74" s="1871"/>
      <c r="M74" s="5886"/>
      <c r="N74" s="2077"/>
      <c r="O74" s="5891"/>
      <c r="P74" s="5891"/>
      <c r="Q74" s="6762"/>
      <c r="R74" s="2353"/>
      <c r="S74" s="2353"/>
      <c r="T74" s="2354"/>
      <c r="U74" s="6009"/>
      <c r="V74" s="6010" t="s">
        <v>532</v>
      </c>
      <c r="W74" s="6011"/>
      <c r="X74" s="6012"/>
      <c r="Y74" s="6013"/>
      <c r="Z74" s="6014"/>
      <c r="AA74" s="6015"/>
      <c r="AB74" s="6016"/>
      <c r="AC74" s="6017"/>
      <c r="AD74" s="6018"/>
      <c r="AE74" s="6019"/>
      <c r="AF74" s="6020"/>
      <c r="AG74" s="6021"/>
      <c r="AH74" s="6022"/>
      <c r="AI74" s="6023"/>
      <c r="AJ74" s="6024"/>
      <c r="AK74" s="6025"/>
      <c r="AL74" s="6026"/>
      <c r="AM74" s="6027"/>
      <c r="AN74" s="6028"/>
      <c r="AO74" s="6029"/>
      <c r="AP74" s="6030"/>
      <c r="AQ74" s="6031"/>
      <c r="AR74" s="6032"/>
      <c r="AS74" s="6033"/>
      <c r="AT74" s="6034"/>
      <c r="AU74" s="6035"/>
      <c r="AV74" s="6036"/>
      <c r="AW74" s="6037"/>
      <c r="AX74" s="6038"/>
      <c r="AY74" s="6039"/>
      <c r="AZ74" s="6040"/>
      <c r="BA74" s="6041"/>
      <c r="BB74" s="6042"/>
      <c r="BC74" s="6043"/>
      <c r="BD74" s="6044"/>
      <c r="BE74" s="6045"/>
      <c r="BF74" s="6046"/>
      <c r="BG74" s="6047"/>
      <c r="BH74" s="6048"/>
      <c r="BI74" s="6049"/>
      <c r="BJ74" s="6050"/>
      <c r="BK74" s="6051"/>
      <c r="BL74" s="6052"/>
      <c r="BM74" s="6053"/>
      <c r="BN74" s="6054"/>
      <c r="BO74" s="6055"/>
      <c r="BP74" s="6056"/>
      <c r="BQ74" s="6057"/>
      <c r="BR74" s="6058"/>
      <c r="BS74" s="6059"/>
      <c r="BT74" s="6060"/>
      <c r="BU74" s="6061"/>
      <c r="BV74" s="6062"/>
      <c r="BW74" s="6063"/>
      <c r="BX74" s="6064"/>
      <c r="BY74" s="6065"/>
      <c r="BZ74" s="6066"/>
      <c r="CA74" s="6067"/>
      <c r="CB74" s="6068"/>
      <c r="CC74" s="6069"/>
      <c r="CD74" s="6070"/>
      <c r="CE74" s="6071"/>
      <c r="CF74" s="6072"/>
      <c r="CG74" s="6073"/>
      <c r="CH74" s="6074"/>
      <c r="CI74" s="6075"/>
      <c r="CJ74" s="6076"/>
      <c r="CK74" s="2211"/>
      <c r="CL74" s="2345"/>
      <c r="CM74" s="2345" t="str">
        <f t="shared" si="3"/>
        <v>Добавить группу потребителей</v>
      </c>
      <c r="CN74" s="2345"/>
      <c r="CO74" s="2345"/>
    </row>
    <row r="75" spans="1:93" s="6077" customFormat="1" ht="14.25" customHeight="1">
      <c r="A75" s="1871"/>
      <c r="B75" s="1871"/>
      <c r="C75" s="1871"/>
      <c r="D75" s="1871"/>
      <c r="E75" s="6794"/>
      <c r="F75" s="6794">
        <v>1</v>
      </c>
      <c r="G75" s="6794"/>
      <c r="H75" s="6793"/>
      <c r="I75" s="1871"/>
      <c r="J75" s="1871"/>
      <c r="K75" s="1871"/>
      <c r="L75" s="1871"/>
      <c r="M75" s="5886"/>
      <c r="N75" s="5887"/>
      <c r="O75" s="5887"/>
      <c r="P75" s="2077"/>
      <c r="Q75" s="2487"/>
      <c r="R75" s="2488"/>
      <c r="S75" s="2489"/>
      <c r="T75" s="2487"/>
      <c r="U75" s="5385"/>
      <c r="V75" s="5386"/>
      <c r="W75" s="5168"/>
      <c r="X75" s="5168"/>
      <c r="Y75" s="5168"/>
      <c r="Z75" s="5168"/>
      <c r="AA75" s="5168"/>
      <c r="AB75" s="5168"/>
      <c r="AC75" s="5168"/>
      <c r="AD75" s="5168"/>
      <c r="AE75" s="5168"/>
      <c r="AF75" s="5168"/>
      <c r="AG75" s="5168"/>
      <c r="AH75" s="5168"/>
      <c r="AI75" s="5168"/>
      <c r="AJ75" s="5168"/>
      <c r="AK75" s="5168"/>
      <c r="AL75" s="5168"/>
      <c r="AM75" s="5168"/>
      <c r="AN75" s="5168"/>
      <c r="AO75" s="5168"/>
      <c r="AP75" s="5168"/>
      <c r="AQ75" s="5168"/>
      <c r="AR75" s="5168"/>
      <c r="AS75" s="5168"/>
      <c r="AT75" s="5168"/>
      <c r="AU75" s="5168"/>
      <c r="AV75" s="5168"/>
      <c r="AW75" s="5168"/>
      <c r="AX75" s="5168"/>
      <c r="AY75" s="5168"/>
      <c r="AZ75" s="5168"/>
      <c r="BA75" s="5168"/>
      <c r="BB75" s="5168"/>
      <c r="BC75" s="5168"/>
      <c r="BD75" s="5168"/>
      <c r="BE75" s="5168"/>
      <c r="BF75" s="5168"/>
      <c r="BG75" s="5168"/>
      <c r="BH75" s="5168"/>
      <c r="BI75" s="5168"/>
      <c r="BJ75" s="5168"/>
      <c r="BK75" s="5168"/>
      <c r="BL75" s="5168"/>
      <c r="BM75" s="5168"/>
      <c r="BN75" s="5168"/>
      <c r="BO75" s="5168"/>
      <c r="BP75" s="5168"/>
      <c r="BQ75" s="5168"/>
      <c r="BR75" s="5168"/>
      <c r="BS75" s="5168"/>
      <c r="BT75" s="5168"/>
      <c r="BU75" s="5168"/>
      <c r="BV75" s="5168"/>
      <c r="BW75" s="5168"/>
      <c r="BX75" s="5168"/>
      <c r="BY75" s="5168"/>
      <c r="BZ75" s="5168"/>
      <c r="CA75" s="5168"/>
      <c r="CB75" s="5168"/>
      <c r="CC75" s="5168"/>
      <c r="CD75" s="5168"/>
      <c r="CE75" s="5168"/>
      <c r="CF75" s="5168"/>
      <c r="CG75" s="5168"/>
      <c r="CH75" s="5168"/>
      <c r="CI75" s="5168"/>
      <c r="CJ75" s="5387"/>
      <c r="CK75" s="2211"/>
      <c r="CL75" s="2345"/>
      <c r="CM75" s="2345" t="str">
        <f t="shared" si="3"/>
        <v/>
      </c>
      <c r="CN75" s="2345"/>
      <c r="CO75" s="2345"/>
    </row>
    <row r="76" spans="1:93" s="6078" customFormat="1" ht="14.25" customHeight="1">
      <c r="A76" s="6079"/>
      <c r="B76" s="6079"/>
      <c r="C76" s="6079"/>
      <c r="D76" s="6079"/>
      <c r="E76" s="6794"/>
      <c r="F76" s="6794">
        <v>1</v>
      </c>
      <c r="G76" s="6793"/>
      <c r="H76" s="6079"/>
      <c r="I76" s="6079"/>
      <c r="J76" s="6079"/>
      <c r="K76" s="6079"/>
      <c r="L76" s="6079"/>
      <c r="M76" s="6080"/>
      <c r="N76" s="6081"/>
      <c r="O76" s="6081"/>
      <c r="P76" s="6082"/>
      <c r="Q76" s="2555"/>
      <c r="R76" s="2556"/>
      <c r="S76" s="2555"/>
      <c r="T76" s="2555"/>
      <c r="U76" s="2557"/>
      <c r="V76" s="2558" t="s">
        <v>228</v>
      </c>
      <c r="W76" s="2203"/>
      <c r="X76" s="2203"/>
      <c r="Y76" s="2203"/>
      <c r="Z76" s="2203"/>
      <c r="AA76" s="2203"/>
      <c r="AB76" s="2203"/>
      <c r="AC76" s="2203"/>
      <c r="AD76" s="2203"/>
      <c r="AE76" s="2203"/>
      <c r="AF76" s="2203"/>
      <c r="AG76" s="2203"/>
      <c r="AH76" s="2203"/>
      <c r="AI76" s="2203"/>
      <c r="AJ76" s="2203"/>
      <c r="AK76" s="2203"/>
      <c r="AL76" s="2203"/>
      <c r="AM76" s="2203"/>
      <c r="AN76" s="2203"/>
      <c r="AO76" s="2203"/>
      <c r="AP76" s="2203"/>
      <c r="AQ76" s="2203"/>
      <c r="AR76" s="2203"/>
      <c r="AS76" s="2203"/>
      <c r="AT76" s="2203"/>
      <c r="AU76" s="2203"/>
      <c r="AV76" s="2203"/>
      <c r="AW76" s="2203"/>
      <c r="AX76" s="2203"/>
      <c r="AY76" s="2203"/>
      <c r="AZ76" s="2203"/>
      <c r="BA76" s="2203"/>
      <c r="BB76" s="2203"/>
      <c r="BC76" s="2203"/>
      <c r="BD76" s="2203"/>
      <c r="BE76" s="2203"/>
      <c r="BF76" s="2203"/>
      <c r="BG76" s="2203"/>
      <c r="BH76" s="2203"/>
      <c r="BI76" s="2203"/>
      <c r="BJ76" s="2203"/>
      <c r="BK76" s="2203"/>
      <c r="BL76" s="2203"/>
      <c r="BM76" s="2203"/>
      <c r="BN76" s="2203"/>
      <c r="BO76" s="2203"/>
      <c r="BP76" s="2203"/>
      <c r="BQ76" s="2203"/>
      <c r="BR76" s="2203"/>
      <c r="BS76" s="2203"/>
      <c r="BT76" s="2203"/>
      <c r="BU76" s="2203"/>
      <c r="BV76" s="2203"/>
      <c r="BW76" s="2203"/>
      <c r="BX76" s="2203"/>
      <c r="BY76" s="2203"/>
      <c r="BZ76" s="2203"/>
      <c r="CA76" s="2203"/>
      <c r="CB76" s="2203"/>
      <c r="CC76" s="2203"/>
      <c r="CD76" s="2203"/>
      <c r="CE76" s="2203"/>
      <c r="CF76" s="2203"/>
      <c r="CG76" s="2203"/>
      <c r="CH76" s="2203"/>
      <c r="CI76" s="2203"/>
      <c r="CJ76" s="2203"/>
      <c r="CK76" s="2211"/>
      <c r="CL76" s="2345"/>
      <c r="CM76" s="2345" t="str">
        <f t="shared" si="3"/>
        <v>Добавить источник для дифференциации</v>
      </c>
      <c r="CN76" s="2345"/>
      <c r="CO76" s="2345"/>
    </row>
    <row r="77" spans="1:93" s="6083" customFormat="1" ht="14.25" customHeight="1">
      <c r="A77" s="6079"/>
      <c r="B77" s="6079"/>
      <c r="C77" s="6079"/>
      <c r="D77" s="6079"/>
      <c r="E77" s="6794"/>
      <c r="F77" s="6793">
        <v>1</v>
      </c>
      <c r="G77" s="6079"/>
      <c r="H77" s="6079"/>
      <c r="I77" s="6079"/>
      <c r="J77" s="6079"/>
      <c r="K77" s="6079"/>
      <c r="L77" s="6079"/>
      <c r="M77" s="6080"/>
      <c r="N77" s="6084"/>
      <c r="O77" s="6084"/>
      <c r="P77" s="6082"/>
      <c r="Q77" s="2555"/>
      <c r="R77" s="2556"/>
      <c r="S77" s="2555"/>
      <c r="T77" s="2555"/>
      <c r="U77" s="2561"/>
      <c r="V77" s="2562" t="s">
        <v>229</v>
      </c>
      <c r="W77" s="2204"/>
      <c r="X77" s="2204"/>
      <c r="Y77" s="2204"/>
      <c r="Z77" s="2204"/>
      <c r="AA77" s="2204"/>
      <c r="AB77" s="2204"/>
      <c r="AC77" s="2204"/>
      <c r="AD77" s="2204"/>
      <c r="AE77" s="2204"/>
      <c r="AF77" s="2204"/>
      <c r="AG77" s="2204"/>
      <c r="AH77" s="2204"/>
      <c r="AI77" s="2204"/>
      <c r="AJ77" s="2204"/>
      <c r="AK77" s="2204"/>
      <c r="AL77" s="2204"/>
      <c r="AM77" s="2204"/>
      <c r="AN77" s="2204"/>
      <c r="AO77" s="2204"/>
      <c r="AP77" s="2204"/>
      <c r="AQ77" s="2204"/>
      <c r="AR77" s="2204"/>
      <c r="AS77" s="2204"/>
      <c r="AT77" s="2204"/>
      <c r="AU77" s="2204"/>
      <c r="AV77" s="2204"/>
      <c r="AW77" s="2204"/>
      <c r="AX77" s="2204"/>
      <c r="AY77" s="2204"/>
      <c r="AZ77" s="2204"/>
      <c r="BA77" s="2204"/>
      <c r="BB77" s="2204"/>
      <c r="BC77" s="2204"/>
      <c r="BD77" s="2204"/>
      <c r="BE77" s="2204"/>
      <c r="BF77" s="2204"/>
      <c r="BG77" s="2204"/>
      <c r="BH77" s="2204"/>
      <c r="BI77" s="2204"/>
      <c r="BJ77" s="2204"/>
      <c r="BK77" s="2204"/>
      <c r="BL77" s="2204"/>
      <c r="BM77" s="2204"/>
      <c r="BN77" s="2204"/>
      <c r="BO77" s="2204"/>
      <c r="BP77" s="2204"/>
      <c r="BQ77" s="2204"/>
      <c r="BR77" s="2204"/>
      <c r="BS77" s="2204"/>
      <c r="BT77" s="2204"/>
      <c r="BU77" s="2204"/>
      <c r="BV77" s="2204"/>
      <c r="BW77" s="2204"/>
      <c r="BX77" s="2204"/>
      <c r="BY77" s="2204"/>
      <c r="BZ77" s="2204"/>
      <c r="CA77" s="2204"/>
      <c r="CB77" s="2204"/>
      <c r="CC77" s="2204"/>
      <c r="CD77" s="2204"/>
      <c r="CE77" s="2204"/>
      <c r="CF77" s="2204"/>
      <c r="CG77" s="2204"/>
      <c r="CH77" s="2204"/>
      <c r="CI77" s="2204"/>
      <c r="CJ77" s="2204"/>
      <c r="CK77" s="2211"/>
      <c r="CL77" s="2345"/>
      <c r="CM77" s="2345" t="str">
        <f t="shared" si="3"/>
        <v>Добавить централизованную систему для дифференциации</v>
      </c>
      <c r="CN77" s="2345"/>
      <c r="CO77" s="2345"/>
    </row>
    <row r="78" spans="1:93" s="6085" customFormat="1" ht="21" customHeight="1">
      <c r="A78" s="1871"/>
      <c r="B78" s="1871" t="s">
        <v>302</v>
      </c>
      <c r="C78" s="1871"/>
      <c r="D78" s="1871"/>
      <c r="E78" s="6794"/>
      <c r="F78" s="6793" t="s">
        <v>89</v>
      </c>
      <c r="G78" s="1871"/>
      <c r="H78" s="1871"/>
      <c r="I78" s="1871"/>
      <c r="J78" s="1871"/>
      <c r="K78" s="1871"/>
      <c r="L78" s="1871"/>
      <c r="M78" s="5886"/>
      <c r="N78" s="5887"/>
      <c r="O78" s="5887"/>
      <c r="P78" s="5887"/>
      <c r="Q78" s="2338"/>
      <c r="R78" s="2339"/>
      <c r="S78" s="2077"/>
      <c r="T78" s="2340"/>
      <c r="U78" s="2341" t="str">
        <f>INDEX(PT_DIFFERENTIATION_NUM_TER,MATCH(B78,PT_DIFFERENTIATION_TER_ID,0))</f>
        <v>1.3</v>
      </c>
      <c r="V78" s="2342" t="s">
        <v>517</v>
      </c>
      <c r="W78" s="2343"/>
      <c r="X78" s="6749"/>
      <c r="Y78" s="6750"/>
      <c r="Z78" s="6750"/>
      <c r="AA78" s="6750"/>
      <c r="AB78" s="6750"/>
      <c r="AC78" s="6750"/>
      <c r="AD78" s="6750"/>
      <c r="AE78" s="6750"/>
      <c r="AF78" s="6751"/>
      <c r="AG78" s="6749" t="str">
        <f>INDEX(PT_DIFFERENTIATION_TER,MATCH(B78,PT_DIFFERENTIATION_TER_ID,0))</f>
        <v>Территория 10</v>
      </c>
      <c r="AH78" s="6750"/>
      <c r="AI78" s="6750"/>
      <c r="AJ78" s="6750"/>
      <c r="AK78" s="6750"/>
      <c r="AL78" s="6750"/>
      <c r="AM78" s="6750"/>
      <c r="AN78" s="6750"/>
      <c r="AO78" s="6750"/>
      <c r="AP78" s="6749"/>
      <c r="AQ78" s="6750"/>
      <c r="AR78" s="6750"/>
      <c r="AS78" s="6750"/>
      <c r="AT78" s="6750"/>
      <c r="AU78" s="6750"/>
      <c r="AV78" s="6750"/>
      <c r="AW78" s="6750"/>
      <c r="AX78" s="6751"/>
      <c r="AY78" s="6749"/>
      <c r="AZ78" s="6750"/>
      <c r="BA78" s="6750"/>
      <c r="BB78" s="6750"/>
      <c r="BC78" s="6750"/>
      <c r="BD78" s="6750"/>
      <c r="BE78" s="6750"/>
      <c r="BF78" s="6750"/>
      <c r="BG78" s="6751"/>
      <c r="BH78" s="6749"/>
      <c r="BI78" s="6750"/>
      <c r="BJ78" s="6750"/>
      <c r="BK78" s="6750"/>
      <c r="BL78" s="6750"/>
      <c r="BM78" s="6750"/>
      <c r="BN78" s="6750"/>
      <c r="BO78" s="6750"/>
      <c r="BP78" s="6751"/>
      <c r="BQ78" s="6749"/>
      <c r="BR78" s="6750"/>
      <c r="BS78" s="6750"/>
      <c r="BT78" s="6750"/>
      <c r="BU78" s="6750"/>
      <c r="BV78" s="6750"/>
      <c r="BW78" s="6750"/>
      <c r="BX78" s="6750"/>
      <c r="BY78" s="6751"/>
      <c r="BZ78" s="6749"/>
      <c r="CA78" s="6750"/>
      <c r="CB78" s="6750"/>
      <c r="CC78" s="6750"/>
      <c r="CD78" s="6750"/>
      <c r="CE78" s="6750"/>
      <c r="CF78" s="6750"/>
      <c r="CG78" s="6750"/>
      <c r="CH78" s="6751"/>
      <c r="CI78" s="6751"/>
      <c r="CJ78" s="2344" t="s">
        <v>518</v>
      </c>
      <c r="CK78" s="2211"/>
      <c r="CL78" s="2345"/>
      <c r="CM78" s="2345" t="str">
        <f t="shared" si="3"/>
        <v>Территория действия тарифа</v>
      </c>
      <c r="CN78" s="2345"/>
      <c r="CO78" s="2345"/>
    </row>
    <row r="79" spans="1:93" s="6086" customFormat="1" ht="22.5" customHeight="1">
      <c r="A79" s="1871"/>
      <c r="B79" s="1871"/>
      <c r="C79" s="1871" t="s">
        <v>303</v>
      </c>
      <c r="D79" s="1871"/>
      <c r="E79" s="6794"/>
      <c r="F79" s="6794" t="s">
        <v>98</v>
      </c>
      <c r="G79" s="6793">
        <v>1</v>
      </c>
      <c r="H79" s="1871"/>
      <c r="I79" s="1871"/>
      <c r="J79" s="1871"/>
      <c r="K79" s="1871"/>
      <c r="L79" s="1871"/>
      <c r="M79" s="5886"/>
      <c r="N79" s="5887"/>
      <c r="O79" s="5887"/>
      <c r="P79" s="5887"/>
      <c r="Q79" s="2347"/>
      <c r="R79" s="2339"/>
      <c r="S79" s="2077"/>
      <c r="T79" s="2340"/>
      <c r="U79" s="2341" t="str">
        <f>INDEX(PT_DIFFERENTIATION_NUM_CS,MATCH(C79,PT_DIFFERENTIATION_CS_ID,0))</f>
        <v>1.3.1</v>
      </c>
      <c r="V79" s="2348" t="s">
        <v>519</v>
      </c>
      <c r="W79" s="2343"/>
      <c r="X79" s="6749"/>
      <c r="Y79" s="6750"/>
      <c r="Z79" s="6750"/>
      <c r="AA79" s="6750"/>
      <c r="AB79" s="6750"/>
      <c r="AC79" s="6750"/>
      <c r="AD79" s="6750"/>
      <c r="AE79" s="6750"/>
      <c r="AF79" s="6751"/>
      <c r="AG79" s="6749" t="str">
        <f>INDEX(PT_DIFFERENTIATION_CS,MATCH(C79,PT_DIFFERENTIATION_CS_ID,0))</f>
        <v>без дифференциации</v>
      </c>
      <c r="AH79" s="6750"/>
      <c r="AI79" s="6750"/>
      <c r="AJ79" s="6750"/>
      <c r="AK79" s="6750"/>
      <c r="AL79" s="6750"/>
      <c r="AM79" s="6750"/>
      <c r="AN79" s="6750"/>
      <c r="AO79" s="6750"/>
      <c r="AP79" s="6749"/>
      <c r="AQ79" s="6750"/>
      <c r="AR79" s="6750"/>
      <c r="AS79" s="6750"/>
      <c r="AT79" s="6750"/>
      <c r="AU79" s="6750"/>
      <c r="AV79" s="6750"/>
      <c r="AW79" s="6750"/>
      <c r="AX79" s="6751"/>
      <c r="AY79" s="6749"/>
      <c r="AZ79" s="6750"/>
      <c r="BA79" s="6750"/>
      <c r="BB79" s="6750"/>
      <c r="BC79" s="6750"/>
      <c r="BD79" s="6750"/>
      <c r="BE79" s="6750"/>
      <c r="BF79" s="6750"/>
      <c r="BG79" s="6751"/>
      <c r="BH79" s="6749"/>
      <c r="BI79" s="6750"/>
      <c r="BJ79" s="6750"/>
      <c r="BK79" s="6750"/>
      <c r="BL79" s="6750"/>
      <c r="BM79" s="6750"/>
      <c r="BN79" s="6750"/>
      <c r="BO79" s="6750"/>
      <c r="BP79" s="6751"/>
      <c r="BQ79" s="6749"/>
      <c r="BR79" s="6750"/>
      <c r="BS79" s="6750"/>
      <c r="BT79" s="6750"/>
      <c r="BU79" s="6750"/>
      <c r="BV79" s="6750"/>
      <c r="BW79" s="6750"/>
      <c r="BX79" s="6750"/>
      <c r="BY79" s="6751"/>
      <c r="BZ79" s="6749"/>
      <c r="CA79" s="6750"/>
      <c r="CB79" s="6750"/>
      <c r="CC79" s="6750"/>
      <c r="CD79" s="6750"/>
      <c r="CE79" s="6750"/>
      <c r="CF79" s="6750"/>
      <c r="CG79" s="6750"/>
      <c r="CH79" s="6751"/>
      <c r="CI79" s="6751"/>
      <c r="CJ79" s="2344" t="s">
        <v>520</v>
      </c>
      <c r="CK79" s="2211"/>
      <c r="CL79" s="2345"/>
      <c r="CM79" s="2345" t="str">
        <f t="shared" si="3"/>
        <v xml:space="preserve">Наименование системы теплоснабжения </v>
      </c>
      <c r="CN79" s="2345"/>
      <c r="CO79" s="2345"/>
    </row>
    <row r="80" spans="1:93" s="6087" customFormat="1" ht="21" customHeight="1">
      <c r="A80" s="1871"/>
      <c r="B80" s="1871"/>
      <c r="C80" s="1871"/>
      <c r="D80" s="1871" t="s">
        <v>304</v>
      </c>
      <c r="E80" s="6794"/>
      <c r="F80" s="6794" t="s">
        <v>98</v>
      </c>
      <c r="G80" s="6794"/>
      <c r="H80" s="6793">
        <v>1</v>
      </c>
      <c r="I80" s="1871"/>
      <c r="J80" s="1871"/>
      <c r="K80" s="1871"/>
      <c r="L80" s="1871"/>
      <c r="M80" s="5886"/>
      <c r="N80" s="5887"/>
      <c r="O80" s="5887"/>
      <c r="P80" s="5887"/>
      <c r="Q80" s="2347"/>
      <c r="R80" s="2339"/>
      <c r="S80" s="2077"/>
      <c r="T80" s="2340"/>
      <c r="U80" s="2341" t="str">
        <f>INDEX(PT_DIFFERENTIATION_NUM_IST_TE,MATCH(D80,PT_DIFFERENTIATION_IST_TE_ID,0))</f>
        <v>1.3.1.1</v>
      </c>
      <c r="V80" s="2350" t="s">
        <v>521</v>
      </c>
      <c r="W80" s="2343"/>
      <c r="X80" s="6749"/>
      <c r="Y80" s="6750"/>
      <c r="Z80" s="6750"/>
      <c r="AA80" s="6750"/>
      <c r="AB80" s="6750"/>
      <c r="AC80" s="6750"/>
      <c r="AD80" s="6750"/>
      <c r="AE80" s="6750"/>
      <c r="AF80" s="6751"/>
      <c r="AG80" s="6749" t="str">
        <f>INDEX(PT_DIFFERENTIATION_IST_TE,MATCH(D80,PT_DIFFERENTIATION_IST_TE_ID,0))</f>
        <v>без дифференциации</v>
      </c>
      <c r="AH80" s="6750"/>
      <c r="AI80" s="6750"/>
      <c r="AJ80" s="6750"/>
      <c r="AK80" s="6750"/>
      <c r="AL80" s="6750"/>
      <c r="AM80" s="6750"/>
      <c r="AN80" s="6750"/>
      <c r="AO80" s="6750"/>
      <c r="AP80" s="6749"/>
      <c r="AQ80" s="6750"/>
      <c r="AR80" s="6750"/>
      <c r="AS80" s="6750"/>
      <c r="AT80" s="6750"/>
      <c r="AU80" s="6750"/>
      <c r="AV80" s="6750"/>
      <c r="AW80" s="6750"/>
      <c r="AX80" s="6751"/>
      <c r="AY80" s="6749"/>
      <c r="AZ80" s="6750"/>
      <c r="BA80" s="6750"/>
      <c r="BB80" s="6750"/>
      <c r="BC80" s="6750"/>
      <c r="BD80" s="6750"/>
      <c r="BE80" s="6750"/>
      <c r="BF80" s="6750"/>
      <c r="BG80" s="6751"/>
      <c r="BH80" s="6749"/>
      <c r="BI80" s="6750"/>
      <c r="BJ80" s="6750"/>
      <c r="BK80" s="6750"/>
      <c r="BL80" s="6750"/>
      <c r="BM80" s="6750"/>
      <c r="BN80" s="6750"/>
      <c r="BO80" s="6750"/>
      <c r="BP80" s="6751"/>
      <c r="BQ80" s="6749"/>
      <c r="BR80" s="6750"/>
      <c r="BS80" s="6750"/>
      <c r="BT80" s="6750"/>
      <c r="BU80" s="6750"/>
      <c r="BV80" s="6750"/>
      <c r="BW80" s="6750"/>
      <c r="BX80" s="6750"/>
      <c r="BY80" s="6751"/>
      <c r="BZ80" s="6749"/>
      <c r="CA80" s="6750"/>
      <c r="CB80" s="6750"/>
      <c r="CC80" s="6750"/>
      <c r="CD80" s="6750"/>
      <c r="CE80" s="6750"/>
      <c r="CF80" s="6750"/>
      <c r="CG80" s="6750"/>
      <c r="CH80" s="6751"/>
      <c r="CI80" s="6751"/>
      <c r="CJ80" s="2344" t="s">
        <v>522</v>
      </c>
      <c r="CK80" s="2211"/>
      <c r="CL80" s="2345"/>
      <c r="CM80" s="2345" t="str">
        <f t="shared" si="3"/>
        <v xml:space="preserve">Источник тепловой энергии  </v>
      </c>
      <c r="CN80" s="2345"/>
      <c r="CO80" s="2345"/>
    </row>
    <row r="81" spans="1:93" s="6088" customFormat="1" ht="14.25" customHeight="1">
      <c r="A81" s="1871"/>
      <c r="B81" s="1871"/>
      <c r="C81" s="1871"/>
      <c r="D81" s="1871"/>
      <c r="E81" s="6794"/>
      <c r="F81" s="6794" t="s">
        <v>98</v>
      </c>
      <c r="G81" s="6794"/>
      <c r="H81" s="6794"/>
      <c r="I81" s="6629" t="str">
        <f>U80&amp;".1"</f>
        <v>1.3.1.1.1</v>
      </c>
      <c r="J81" s="1871"/>
      <c r="K81" s="1871"/>
      <c r="L81" s="1871"/>
      <c r="M81" s="5886" t="s">
        <v>523</v>
      </c>
      <c r="N81" s="2077"/>
      <c r="O81" s="5891"/>
      <c r="P81" s="5891"/>
      <c r="Q81" s="6762">
        <v>1</v>
      </c>
      <c r="R81" s="2353"/>
      <c r="S81" s="2353"/>
      <c r="T81" s="2354"/>
      <c r="U81" s="5254"/>
      <c r="V81" s="5255"/>
      <c r="W81" s="5256"/>
      <c r="X81" s="6790"/>
      <c r="Y81" s="6791"/>
      <c r="Z81" s="6791"/>
      <c r="AA81" s="6791"/>
      <c r="AB81" s="6791"/>
      <c r="AC81" s="6791"/>
      <c r="AD81" s="6791"/>
      <c r="AE81" s="6791"/>
      <c r="AF81" s="6792"/>
      <c r="AG81" s="6790"/>
      <c r="AH81" s="6791"/>
      <c r="AI81" s="6791"/>
      <c r="AJ81" s="6791"/>
      <c r="AK81" s="6791"/>
      <c r="AL81" s="6791"/>
      <c r="AM81" s="6791"/>
      <c r="AN81" s="6791"/>
      <c r="AO81" s="6791"/>
      <c r="AP81" s="6790"/>
      <c r="AQ81" s="6791"/>
      <c r="AR81" s="6791"/>
      <c r="AS81" s="6791"/>
      <c r="AT81" s="6791"/>
      <c r="AU81" s="6791"/>
      <c r="AV81" s="6791"/>
      <c r="AW81" s="6791"/>
      <c r="AX81" s="6792"/>
      <c r="AY81" s="6790"/>
      <c r="AZ81" s="6791"/>
      <c r="BA81" s="6791"/>
      <c r="BB81" s="6791"/>
      <c r="BC81" s="6791"/>
      <c r="BD81" s="6791"/>
      <c r="BE81" s="6791"/>
      <c r="BF81" s="6791"/>
      <c r="BG81" s="6792"/>
      <c r="BH81" s="6790"/>
      <c r="BI81" s="6791"/>
      <c r="BJ81" s="6791"/>
      <c r="BK81" s="6791"/>
      <c r="BL81" s="6791"/>
      <c r="BM81" s="6791"/>
      <c r="BN81" s="6791"/>
      <c r="BO81" s="6791"/>
      <c r="BP81" s="6792"/>
      <c r="BQ81" s="6790"/>
      <c r="BR81" s="6791"/>
      <c r="BS81" s="6791"/>
      <c r="BT81" s="6791"/>
      <c r="BU81" s="6791"/>
      <c r="BV81" s="6791"/>
      <c r="BW81" s="6791"/>
      <c r="BX81" s="6791"/>
      <c r="BY81" s="6792"/>
      <c r="BZ81" s="6790"/>
      <c r="CA81" s="6791"/>
      <c r="CB81" s="6791"/>
      <c r="CC81" s="6791"/>
      <c r="CD81" s="6791"/>
      <c r="CE81" s="6791"/>
      <c r="CF81" s="6791"/>
      <c r="CG81" s="6791"/>
      <c r="CH81" s="6792"/>
      <c r="CI81" s="6792"/>
      <c r="CJ81" s="5257"/>
      <c r="CK81" s="2211"/>
      <c r="CL81" s="2345"/>
      <c r="CM81" s="2345" t="str">
        <f t="shared" si="3"/>
        <v/>
      </c>
      <c r="CN81" s="2345"/>
      <c r="CO81" s="2345"/>
    </row>
    <row r="82" spans="1:93" s="6089" customFormat="1" ht="21" customHeight="1">
      <c r="A82" s="1871"/>
      <c r="B82" s="1871"/>
      <c r="C82" s="1871"/>
      <c r="D82" s="1871"/>
      <c r="E82" s="6794"/>
      <c r="F82" s="6794" t="s">
        <v>98</v>
      </c>
      <c r="G82" s="6794"/>
      <c r="H82" s="6794"/>
      <c r="I82" s="6600"/>
      <c r="J82" s="6629" t="str">
        <f>I81&amp;".1"</f>
        <v>1.3.1.1.1.1</v>
      </c>
      <c r="K82" s="1871"/>
      <c r="L82" s="1871"/>
      <c r="M82" s="5886" t="s">
        <v>526</v>
      </c>
      <c r="N82" s="2077"/>
      <c r="O82" s="2077"/>
      <c r="P82" s="5891"/>
      <c r="Q82" s="6762"/>
      <c r="R82" s="6762">
        <v>1</v>
      </c>
      <c r="S82" s="2211"/>
      <c r="T82" s="2357"/>
      <c r="U82" s="2341" t="str">
        <f>$J82</f>
        <v>1.3.1.1.1.1</v>
      </c>
      <c r="V82" s="2358" t="s">
        <v>527</v>
      </c>
      <c r="W82" s="2343"/>
      <c r="X82" s="6752"/>
      <c r="Y82" s="6753"/>
      <c r="Z82" s="6753"/>
      <c r="AA82" s="6753"/>
      <c r="AB82" s="6753"/>
      <c r="AC82" s="6745"/>
      <c r="AD82" s="6745"/>
      <c r="AE82" s="6745"/>
      <c r="AF82" s="6795"/>
      <c r="AG82" s="6752" t="s">
        <v>566</v>
      </c>
      <c r="AH82" s="6753"/>
      <c r="AI82" s="6753"/>
      <c r="AJ82" s="6753"/>
      <c r="AK82" s="6753"/>
      <c r="AL82" s="6753"/>
      <c r="AM82" s="6753"/>
      <c r="AN82" s="6753"/>
      <c r="AO82" s="6753"/>
      <c r="AP82" s="6752"/>
      <c r="AQ82" s="6753"/>
      <c r="AR82" s="6753"/>
      <c r="AS82" s="6753"/>
      <c r="AT82" s="6753"/>
      <c r="AU82" s="6745"/>
      <c r="AV82" s="6745"/>
      <c r="AW82" s="6745"/>
      <c r="AX82" s="6795"/>
      <c r="AY82" s="6752"/>
      <c r="AZ82" s="6753"/>
      <c r="BA82" s="6753"/>
      <c r="BB82" s="6753"/>
      <c r="BC82" s="6753"/>
      <c r="BD82" s="6745"/>
      <c r="BE82" s="6745"/>
      <c r="BF82" s="6745"/>
      <c r="BG82" s="6795"/>
      <c r="BH82" s="6752"/>
      <c r="BI82" s="6753"/>
      <c r="BJ82" s="6753"/>
      <c r="BK82" s="6753"/>
      <c r="BL82" s="6753"/>
      <c r="BM82" s="6745"/>
      <c r="BN82" s="6745"/>
      <c r="BO82" s="6745"/>
      <c r="BP82" s="6795"/>
      <c r="BQ82" s="6752"/>
      <c r="BR82" s="6753"/>
      <c r="BS82" s="6753"/>
      <c r="BT82" s="6753"/>
      <c r="BU82" s="6753"/>
      <c r="BV82" s="6745"/>
      <c r="BW82" s="6745"/>
      <c r="BX82" s="6745"/>
      <c r="BY82" s="6795"/>
      <c r="BZ82" s="6752"/>
      <c r="CA82" s="6753"/>
      <c r="CB82" s="6753"/>
      <c r="CC82" s="6753"/>
      <c r="CD82" s="6753"/>
      <c r="CE82" s="6745"/>
      <c r="CF82" s="6745"/>
      <c r="CG82" s="6745"/>
      <c r="CH82" s="6795"/>
      <c r="CI82" s="6754"/>
      <c r="CJ82" s="2344" t="s">
        <v>528</v>
      </c>
      <c r="CK82" s="2211"/>
      <c r="CL82" s="2345"/>
      <c r="CM82" s="2345" t="str">
        <f t="shared" si="3"/>
        <v>Группа потребителей</v>
      </c>
      <c r="CN82" s="2345"/>
      <c r="CO82" s="2345"/>
    </row>
    <row r="83" spans="1:93" s="6090" customFormat="1" ht="21" customHeight="1">
      <c r="A83" s="1871"/>
      <c r="B83" s="1871"/>
      <c r="C83" s="1871"/>
      <c r="D83" s="1871"/>
      <c r="E83" s="6794"/>
      <c r="F83" s="6794" t="s">
        <v>98</v>
      </c>
      <c r="G83" s="6794"/>
      <c r="H83" s="6794"/>
      <c r="I83" s="6600"/>
      <c r="J83" s="6600"/>
      <c r="K83" s="6629" t="str">
        <f>J82&amp;".1"</f>
        <v>1.3.1.1.1.1.1</v>
      </c>
      <c r="L83" s="2338"/>
      <c r="M83" s="5886" t="s">
        <v>529</v>
      </c>
      <c r="N83" s="2077"/>
      <c r="O83" s="2077"/>
      <c r="P83" s="2077"/>
      <c r="Q83" s="6762"/>
      <c r="R83" s="6762"/>
      <c r="S83" s="6762">
        <v>1</v>
      </c>
      <c r="T83" s="2357"/>
      <c r="U83" s="2341" t="str">
        <f>$K83</f>
        <v>1.3.1.1.1.1.1</v>
      </c>
      <c r="V83" s="2360" t="s">
        <v>567</v>
      </c>
      <c r="W83" s="2343"/>
      <c r="X83" s="2763"/>
      <c r="Y83" s="2763"/>
      <c r="Z83" s="2763"/>
      <c r="AA83" s="2763"/>
      <c r="AB83" s="2764"/>
      <c r="AC83" s="6768"/>
      <c r="AD83" s="6769" t="s">
        <v>61</v>
      </c>
      <c r="AE83" s="6768"/>
      <c r="AF83" s="6769" t="s">
        <v>61</v>
      </c>
      <c r="AG83" s="5894"/>
      <c r="AH83" s="2078">
        <v>28.45</v>
      </c>
      <c r="AI83" s="2078">
        <v>2877.98</v>
      </c>
      <c r="AJ83" s="2078"/>
      <c r="AK83" s="2080"/>
      <c r="AL83" s="6766">
        <v>45292.755300925928</v>
      </c>
      <c r="AM83" s="6610" t="s">
        <v>61</v>
      </c>
      <c r="AN83" s="6766">
        <v>45838.755497685182</v>
      </c>
      <c r="AO83" s="6610" t="s">
        <v>61</v>
      </c>
      <c r="AP83" s="2078"/>
      <c r="AQ83" s="2078">
        <v>29.35</v>
      </c>
      <c r="AR83" s="2078">
        <v>3170.69</v>
      </c>
      <c r="AS83" s="2078"/>
      <c r="AT83" s="5656"/>
      <c r="AU83" s="6766">
        <v>45839.755879629629</v>
      </c>
      <c r="AV83" s="6610" t="s">
        <v>61</v>
      </c>
      <c r="AW83" s="6766">
        <v>46203.756041666667</v>
      </c>
      <c r="AX83" s="6610" t="s">
        <v>61</v>
      </c>
      <c r="AY83" s="2078"/>
      <c r="AZ83" s="2078">
        <v>30.22</v>
      </c>
      <c r="BA83" s="2078">
        <v>3278.24</v>
      </c>
      <c r="BB83" s="2078"/>
      <c r="BC83" s="5656"/>
      <c r="BD83" s="6766">
        <v>46204.756365740737</v>
      </c>
      <c r="BE83" s="6610" t="s">
        <v>61</v>
      </c>
      <c r="BF83" s="6766">
        <v>46568.756620370368</v>
      </c>
      <c r="BG83" s="6610" t="s">
        <v>61</v>
      </c>
      <c r="BH83" s="2078"/>
      <c r="BI83" s="2078">
        <v>31.12</v>
      </c>
      <c r="BJ83" s="2078">
        <v>3385.84</v>
      </c>
      <c r="BK83" s="2078"/>
      <c r="BL83" s="5656"/>
      <c r="BM83" s="6766">
        <v>46569.756967592592</v>
      </c>
      <c r="BN83" s="6610" t="s">
        <v>61</v>
      </c>
      <c r="BO83" s="6766">
        <v>46934.757268518515</v>
      </c>
      <c r="BP83" s="6610" t="s">
        <v>61</v>
      </c>
      <c r="BQ83" s="2078"/>
      <c r="BR83" s="2078">
        <v>32.04</v>
      </c>
      <c r="BS83" s="2078">
        <v>3497.13</v>
      </c>
      <c r="BT83" s="2078"/>
      <c r="BU83" s="5656"/>
      <c r="BV83" s="6766">
        <v>46935.757581018515</v>
      </c>
      <c r="BW83" s="6610" t="s">
        <v>61</v>
      </c>
      <c r="BX83" s="6766">
        <v>47118.7578125</v>
      </c>
      <c r="BY83" s="6610" t="s">
        <v>56</v>
      </c>
      <c r="BZ83" s="2763"/>
      <c r="CA83" s="2763"/>
      <c r="CB83" s="2763"/>
      <c r="CC83" s="2763"/>
      <c r="CD83" s="2764"/>
      <c r="CE83" s="6768"/>
      <c r="CF83" s="6769" t="s">
        <v>61</v>
      </c>
      <c r="CG83" s="6768"/>
      <c r="CH83" s="6769" t="s">
        <v>61</v>
      </c>
      <c r="CI83" s="2079"/>
      <c r="CJ83" s="5895" t="s">
        <v>570</v>
      </c>
      <c r="CK83" s="2211" t="e">
        <f ca="1">STRCHECKDATE(X85:CI85)</f>
        <v>#NAME?</v>
      </c>
      <c r="CL83" s="2345"/>
      <c r="CM83" s="2345" t="str">
        <f t="shared" si="3"/>
        <v>вода</v>
      </c>
      <c r="CN83" s="2345"/>
      <c r="CO83" s="2345"/>
    </row>
    <row r="84" spans="1:93" s="6091" customFormat="1" ht="21" customHeight="1">
      <c r="A84" s="1871"/>
      <c r="B84" s="1871"/>
      <c r="C84" s="1871"/>
      <c r="D84" s="1871"/>
      <c r="E84" s="6794"/>
      <c r="F84" s="6794" t="s">
        <v>98</v>
      </c>
      <c r="G84" s="6794"/>
      <c r="H84" s="6794"/>
      <c r="I84" s="6600"/>
      <c r="J84" s="6600"/>
      <c r="K84" s="6600"/>
      <c r="L84" s="6629" t="str">
        <f>K83&amp;".1"</f>
        <v>1.3.1.1.1.1.1.1</v>
      </c>
      <c r="M84" s="5886"/>
      <c r="N84" s="2077"/>
      <c r="O84" s="2077"/>
      <c r="P84" s="2077"/>
      <c r="Q84" s="6762"/>
      <c r="R84" s="6762"/>
      <c r="S84" s="6762"/>
      <c r="T84" s="2357"/>
      <c r="U84" s="2341" t="str">
        <f>$L84</f>
        <v>1.3.1.1.1.1.1.1</v>
      </c>
      <c r="V84" s="5897"/>
      <c r="W84" s="2343"/>
      <c r="X84" s="2763"/>
      <c r="Y84" s="2763"/>
      <c r="Z84" s="2763"/>
      <c r="AA84" s="2763"/>
      <c r="AB84" s="2764"/>
      <c r="AC84" s="6768"/>
      <c r="AD84" s="6769"/>
      <c r="AE84" s="6768"/>
      <c r="AF84" s="6769"/>
      <c r="AG84" s="5894"/>
      <c r="AH84" s="2078"/>
      <c r="AI84" s="2078"/>
      <c r="AJ84" s="2078"/>
      <c r="AK84" s="2080"/>
      <c r="AL84" s="6767"/>
      <c r="AM84" s="6610"/>
      <c r="AN84" s="6767"/>
      <c r="AO84" s="6610"/>
      <c r="AP84" s="2079"/>
      <c r="AQ84" s="2078"/>
      <c r="AR84" s="2078"/>
      <c r="AS84" s="2078"/>
      <c r="AT84" s="5656"/>
      <c r="AU84" s="6767"/>
      <c r="AV84" s="6610"/>
      <c r="AW84" s="6767"/>
      <c r="AX84" s="6610"/>
      <c r="AY84" s="2079"/>
      <c r="AZ84" s="2078"/>
      <c r="BA84" s="2078"/>
      <c r="BB84" s="2078"/>
      <c r="BC84" s="5656"/>
      <c r="BD84" s="6767"/>
      <c r="BE84" s="6610"/>
      <c r="BF84" s="6767"/>
      <c r="BG84" s="6610"/>
      <c r="BH84" s="2079"/>
      <c r="BI84" s="2078"/>
      <c r="BJ84" s="2078"/>
      <c r="BK84" s="2078"/>
      <c r="BL84" s="5656"/>
      <c r="BM84" s="6767"/>
      <c r="BN84" s="6610"/>
      <c r="BO84" s="6767"/>
      <c r="BP84" s="6610"/>
      <c r="BQ84" s="2079"/>
      <c r="BR84" s="2078"/>
      <c r="BS84" s="2078"/>
      <c r="BT84" s="2078"/>
      <c r="BU84" s="5656"/>
      <c r="BV84" s="6767"/>
      <c r="BW84" s="6610"/>
      <c r="BX84" s="6767"/>
      <c r="BY84" s="6610"/>
      <c r="BZ84" s="2763"/>
      <c r="CA84" s="2763"/>
      <c r="CB84" s="2763"/>
      <c r="CC84" s="2763"/>
      <c r="CD84" s="2764"/>
      <c r="CE84" s="6768"/>
      <c r="CF84" s="6769"/>
      <c r="CG84" s="6768"/>
      <c r="CH84" s="6769"/>
      <c r="CI84" s="2079"/>
      <c r="CJ84" s="6758" t="s">
        <v>571</v>
      </c>
      <c r="CK84" s="2211"/>
      <c r="CL84" s="2345"/>
      <c r="CM84" s="2345"/>
      <c r="CN84" s="2345"/>
      <c r="CO84" s="2345"/>
    </row>
    <row r="85" spans="1:93" s="6092" customFormat="1" ht="14.25" customHeight="1">
      <c r="A85" s="1871"/>
      <c r="B85" s="1871"/>
      <c r="C85" s="1871"/>
      <c r="D85" s="1871"/>
      <c r="E85" s="6794"/>
      <c r="F85" s="6794" t="s">
        <v>98</v>
      </c>
      <c r="G85" s="6794"/>
      <c r="H85" s="6794"/>
      <c r="I85" s="6600"/>
      <c r="J85" s="6600"/>
      <c r="K85" s="6600"/>
      <c r="L85" s="6629"/>
      <c r="M85" s="5886"/>
      <c r="N85" s="2077"/>
      <c r="O85" s="2077"/>
      <c r="P85" s="2077"/>
      <c r="Q85" s="6762"/>
      <c r="R85" s="6762"/>
      <c r="S85" s="6762"/>
      <c r="T85" s="2357"/>
      <c r="U85" s="2362"/>
      <c r="V85" s="2343"/>
      <c r="W85" s="2343"/>
      <c r="X85" s="2763"/>
      <c r="Y85" s="2763"/>
      <c r="Z85" s="2763"/>
      <c r="AA85" s="2763"/>
      <c r="AB85" s="2764"/>
      <c r="AC85" s="6768"/>
      <c r="AD85" s="6769"/>
      <c r="AE85" s="6768"/>
      <c r="AF85" s="6769"/>
      <c r="AG85" s="5899"/>
      <c r="AH85" s="2079"/>
      <c r="AI85" s="2079"/>
      <c r="AJ85" s="2079"/>
      <c r="AK85" s="2082" t="str">
        <f>AL83&amp;"-"&amp;AN83</f>
        <v>45292,7553009259-45838,7554976852</v>
      </c>
      <c r="AL85" s="6767"/>
      <c r="AM85" s="6610"/>
      <c r="AN85" s="6767"/>
      <c r="AO85" s="6610"/>
      <c r="AP85" s="2079"/>
      <c r="AQ85" s="2079"/>
      <c r="AR85" s="2079"/>
      <c r="AS85" s="2079"/>
      <c r="AT85" s="5657" t="str">
        <f>AU83&amp;"-"&amp;AW83</f>
        <v>45839,7558796296-46203,7560416667</v>
      </c>
      <c r="AU85" s="6767"/>
      <c r="AV85" s="6610"/>
      <c r="AW85" s="6767"/>
      <c r="AX85" s="6610"/>
      <c r="AY85" s="2079"/>
      <c r="AZ85" s="2079"/>
      <c r="BA85" s="2079"/>
      <c r="BB85" s="2079"/>
      <c r="BC85" s="5657" t="str">
        <f>BD83&amp;"-"&amp;BF83</f>
        <v>46204,7563657407-46568,7566203704</v>
      </c>
      <c r="BD85" s="6767"/>
      <c r="BE85" s="6610"/>
      <c r="BF85" s="6767"/>
      <c r="BG85" s="6610"/>
      <c r="BH85" s="2079"/>
      <c r="BI85" s="2079"/>
      <c r="BJ85" s="2079"/>
      <c r="BK85" s="2079"/>
      <c r="BL85" s="5657" t="str">
        <f>BM83&amp;"-"&amp;BO83</f>
        <v>46569,7569675926-46934,7572685185</v>
      </c>
      <c r="BM85" s="6767"/>
      <c r="BN85" s="6610"/>
      <c r="BO85" s="6767"/>
      <c r="BP85" s="6610"/>
      <c r="BQ85" s="2079"/>
      <c r="BR85" s="2079"/>
      <c r="BS85" s="2079"/>
      <c r="BT85" s="2079"/>
      <c r="BU85" s="5657" t="str">
        <f>BV83&amp;"-"&amp;BX83</f>
        <v>46935,7575810185-47118,7578125</v>
      </c>
      <c r="BV85" s="6767"/>
      <c r="BW85" s="6610"/>
      <c r="BX85" s="6767"/>
      <c r="BY85" s="6610"/>
      <c r="BZ85" s="2763"/>
      <c r="CA85" s="2763"/>
      <c r="CB85" s="2763"/>
      <c r="CC85" s="2763"/>
      <c r="CD85" s="2764"/>
      <c r="CE85" s="6768"/>
      <c r="CF85" s="6769"/>
      <c r="CG85" s="6768"/>
      <c r="CH85" s="6769"/>
      <c r="CI85" s="2079"/>
      <c r="CJ85" s="6759"/>
      <c r="CK85" s="2211"/>
      <c r="CL85" s="2345"/>
      <c r="CM85" s="2345" t="str">
        <f>IF(V85="","",V85)</f>
        <v/>
      </c>
      <c r="CN85" s="2345"/>
      <c r="CO85" s="2345"/>
    </row>
    <row r="86" spans="1:93" s="6093" customFormat="1" ht="11.25" customHeight="1">
      <c r="A86" s="1871"/>
      <c r="B86" s="1871"/>
      <c r="C86" s="1871"/>
      <c r="D86" s="1871"/>
      <c r="E86" s="6794"/>
      <c r="F86" s="6794" t="s">
        <v>98</v>
      </c>
      <c r="G86" s="6794"/>
      <c r="H86" s="6794"/>
      <c r="I86" s="6600"/>
      <c r="J86" s="6600"/>
      <c r="K86" s="6629"/>
      <c r="L86" s="1871"/>
      <c r="M86" s="5886"/>
      <c r="N86" s="2077"/>
      <c r="O86" s="2077"/>
      <c r="P86" s="2077"/>
      <c r="Q86" s="6762"/>
      <c r="R86" s="6762"/>
      <c r="S86" s="6762"/>
      <c r="T86" s="2357"/>
      <c r="U86" s="6094"/>
      <c r="V86" s="6095" t="s">
        <v>572</v>
      </c>
      <c r="W86" s="6096"/>
      <c r="X86" s="2763"/>
      <c r="Y86" s="2763"/>
      <c r="Z86" s="2763"/>
      <c r="AA86" s="2763"/>
      <c r="AB86" s="2082" t="str">
        <f>AC83&amp;"-"&amp;AE83</f>
        <v>-</v>
      </c>
      <c r="AC86" s="6769"/>
      <c r="AD86" s="6769"/>
      <c r="AE86" s="6769"/>
      <c r="AF86" s="6769"/>
      <c r="AG86" s="6097"/>
      <c r="AH86" s="6098"/>
      <c r="AI86" s="6099"/>
      <c r="AJ86" s="6100"/>
      <c r="AK86" s="6101"/>
      <c r="AL86" s="6767"/>
      <c r="AM86" s="6610"/>
      <c r="AN86" s="6767"/>
      <c r="AO86" s="6610"/>
      <c r="AP86" s="6102"/>
      <c r="AQ86" s="6103"/>
      <c r="AR86" s="6104"/>
      <c r="AS86" s="6105"/>
      <c r="AT86" s="6106"/>
      <c r="AU86" s="6767"/>
      <c r="AV86" s="6610"/>
      <c r="AW86" s="6767"/>
      <c r="AX86" s="6610"/>
      <c r="AY86" s="6107"/>
      <c r="AZ86" s="6108"/>
      <c r="BA86" s="6109"/>
      <c r="BB86" s="6110"/>
      <c r="BC86" s="6111"/>
      <c r="BD86" s="6767"/>
      <c r="BE86" s="6610"/>
      <c r="BF86" s="6767"/>
      <c r="BG86" s="6610"/>
      <c r="BH86" s="6112"/>
      <c r="BI86" s="6113"/>
      <c r="BJ86" s="6114"/>
      <c r="BK86" s="6115"/>
      <c r="BL86" s="6116"/>
      <c r="BM86" s="6767"/>
      <c r="BN86" s="6610"/>
      <c r="BO86" s="6767"/>
      <c r="BP86" s="6610"/>
      <c r="BQ86" s="6117"/>
      <c r="BR86" s="6118"/>
      <c r="BS86" s="6119"/>
      <c r="BT86" s="6120"/>
      <c r="BU86" s="6121"/>
      <c r="BV86" s="6767"/>
      <c r="BW86" s="6610"/>
      <c r="BX86" s="6767"/>
      <c r="BY86" s="6610"/>
      <c r="BZ86" s="2763"/>
      <c r="CA86" s="2763"/>
      <c r="CB86" s="2763"/>
      <c r="CC86" s="2763"/>
      <c r="CD86" s="2082" t="str">
        <f>CE83&amp;"-"&amp;CG83</f>
        <v>-</v>
      </c>
      <c r="CE86" s="6769"/>
      <c r="CF86" s="6769"/>
      <c r="CG86" s="6769"/>
      <c r="CH86" s="6769"/>
      <c r="CI86" s="6122"/>
      <c r="CJ86" s="6759"/>
      <c r="CK86" s="2211"/>
      <c r="CL86" s="2345"/>
      <c r="CM86" s="2345"/>
      <c r="CN86" s="2345"/>
      <c r="CO86" s="2345"/>
    </row>
    <row r="87" spans="1:93" s="6123" customFormat="1" ht="15" customHeight="1">
      <c r="A87" s="1871"/>
      <c r="B87" s="1871"/>
      <c r="C87" s="1871"/>
      <c r="D87" s="1871"/>
      <c r="E87" s="6794"/>
      <c r="F87" s="6794" t="s">
        <v>98</v>
      </c>
      <c r="G87" s="6794"/>
      <c r="H87" s="6794"/>
      <c r="I87" s="6600"/>
      <c r="J87" s="6629"/>
      <c r="K87" s="1871"/>
      <c r="L87" s="1871"/>
      <c r="M87" s="5886"/>
      <c r="N87" s="2077"/>
      <c r="O87" s="2077"/>
      <c r="P87" s="5891"/>
      <c r="Q87" s="6762"/>
      <c r="R87" s="6762"/>
      <c r="S87" s="2353"/>
      <c r="T87" s="2354"/>
      <c r="U87" s="6124"/>
      <c r="V87" s="6125" t="s">
        <v>531</v>
      </c>
      <c r="W87" s="6126"/>
      <c r="X87" s="6127"/>
      <c r="Y87" s="6128"/>
      <c r="Z87" s="6129"/>
      <c r="AA87" s="6130"/>
      <c r="AB87" s="6131"/>
      <c r="AC87" s="6132"/>
      <c r="AD87" s="6133"/>
      <c r="AE87" s="6134"/>
      <c r="AF87" s="6135"/>
      <c r="AG87" s="6136"/>
      <c r="AH87" s="6137"/>
      <c r="AI87" s="6138"/>
      <c r="AJ87" s="6139"/>
      <c r="AK87" s="6140"/>
      <c r="AL87" s="6141"/>
      <c r="AM87" s="6142"/>
      <c r="AN87" s="6143"/>
      <c r="AO87" s="6144"/>
      <c r="AP87" s="6145"/>
      <c r="AQ87" s="6146"/>
      <c r="AR87" s="6147"/>
      <c r="AS87" s="6148"/>
      <c r="AT87" s="6149"/>
      <c r="AU87" s="6150"/>
      <c r="AV87" s="6151"/>
      <c r="AW87" s="6152"/>
      <c r="AX87" s="6153"/>
      <c r="AY87" s="6154"/>
      <c r="AZ87" s="6155"/>
      <c r="BA87" s="6156"/>
      <c r="BB87" s="6157"/>
      <c r="BC87" s="6158"/>
      <c r="BD87" s="6159"/>
      <c r="BE87" s="6160"/>
      <c r="BF87" s="6161"/>
      <c r="BG87" s="6162"/>
      <c r="BH87" s="6163"/>
      <c r="BI87" s="6164"/>
      <c r="BJ87" s="6165"/>
      <c r="BK87" s="6166"/>
      <c r="BL87" s="6167"/>
      <c r="BM87" s="6168"/>
      <c r="BN87" s="6169"/>
      <c r="BO87" s="6170"/>
      <c r="BP87" s="6171"/>
      <c r="BQ87" s="6172"/>
      <c r="BR87" s="6173"/>
      <c r="BS87" s="6174"/>
      <c r="BT87" s="6175"/>
      <c r="BU87" s="6176"/>
      <c r="BV87" s="6177"/>
      <c r="BW87" s="6178"/>
      <c r="BX87" s="6179"/>
      <c r="BY87" s="6180"/>
      <c r="BZ87" s="6181"/>
      <c r="CA87" s="6182"/>
      <c r="CB87" s="6183"/>
      <c r="CC87" s="6184"/>
      <c r="CD87" s="6185"/>
      <c r="CE87" s="6186"/>
      <c r="CF87" s="6187"/>
      <c r="CG87" s="6188"/>
      <c r="CH87" s="6189"/>
      <c r="CI87" s="6190"/>
      <c r="CJ87" s="6760"/>
      <c r="CK87" s="2211"/>
      <c r="CL87" s="2345"/>
      <c r="CM87" s="2345" t="str">
        <f t="shared" ref="CM87:CM97" si="4">IF(V87="","",V87)</f>
        <v>Добавить вид теплоносителя (параметры теплоносителя)</v>
      </c>
      <c r="CN87" s="2345"/>
      <c r="CO87" s="2345"/>
    </row>
    <row r="88" spans="1:93" s="6191" customFormat="1" ht="11.25" customHeight="1">
      <c r="A88" s="1871"/>
      <c r="B88" s="1871"/>
      <c r="C88" s="1871"/>
      <c r="D88" s="1871"/>
      <c r="E88" s="6794"/>
      <c r="F88" s="6794" t="s">
        <v>98</v>
      </c>
      <c r="G88" s="6794"/>
      <c r="H88" s="6794"/>
      <c r="I88" s="6629"/>
      <c r="J88" s="1871"/>
      <c r="K88" s="1871"/>
      <c r="L88" s="1871"/>
      <c r="M88" s="5886"/>
      <c r="N88" s="2077"/>
      <c r="O88" s="5891"/>
      <c r="P88" s="5891"/>
      <c r="Q88" s="6762"/>
      <c r="R88" s="2353"/>
      <c r="S88" s="2353"/>
      <c r="T88" s="2354"/>
      <c r="U88" s="6192"/>
      <c r="V88" s="6193" t="s">
        <v>532</v>
      </c>
      <c r="W88" s="6194"/>
      <c r="X88" s="6195"/>
      <c r="Y88" s="6196"/>
      <c r="Z88" s="6197"/>
      <c r="AA88" s="6198"/>
      <c r="AB88" s="6199"/>
      <c r="AC88" s="6200"/>
      <c r="AD88" s="6201"/>
      <c r="AE88" s="6202"/>
      <c r="AF88" s="6203"/>
      <c r="AG88" s="6204"/>
      <c r="AH88" s="6205"/>
      <c r="AI88" s="6206"/>
      <c r="AJ88" s="6207"/>
      <c r="AK88" s="6208"/>
      <c r="AL88" s="6209"/>
      <c r="AM88" s="6210"/>
      <c r="AN88" s="6211"/>
      <c r="AO88" s="6212"/>
      <c r="AP88" s="6213"/>
      <c r="AQ88" s="6214"/>
      <c r="AR88" s="6215"/>
      <c r="AS88" s="6216"/>
      <c r="AT88" s="6217"/>
      <c r="AU88" s="6218"/>
      <c r="AV88" s="6219"/>
      <c r="AW88" s="6220"/>
      <c r="AX88" s="6221"/>
      <c r="AY88" s="6222"/>
      <c r="AZ88" s="6223"/>
      <c r="BA88" s="6224"/>
      <c r="BB88" s="6225"/>
      <c r="BC88" s="6226"/>
      <c r="BD88" s="6227"/>
      <c r="BE88" s="6228"/>
      <c r="BF88" s="6229"/>
      <c r="BG88" s="6230"/>
      <c r="BH88" s="6231"/>
      <c r="BI88" s="6232"/>
      <c r="BJ88" s="6233"/>
      <c r="BK88" s="6234"/>
      <c r="BL88" s="6235"/>
      <c r="BM88" s="6236"/>
      <c r="BN88" s="6237"/>
      <c r="BO88" s="6238"/>
      <c r="BP88" s="6239"/>
      <c r="BQ88" s="6240"/>
      <c r="BR88" s="6241"/>
      <c r="BS88" s="6242"/>
      <c r="BT88" s="6243"/>
      <c r="BU88" s="6244"/>
      <c r="BV88" s="6245"/>
      <c r="BW88" s="6246"/>
      <c r="BX88" s="6247"/>
      <c r="BY88" s="6248"/>
      <c r="BZ88" s="6249"/>
      <c r="CA88" s="6250"/>
      <c r="CB88" s="6251"/>
      <c r="CC88" s="6252"/>
      <c r="CD88" s="6253"/>
      <c r="CE88" s="6254"/>
      <c r="CF88" s="6255"/>
      <c r="CG88" s="6256"/>
      <c r="CH88" s="6257"/>
      <c r="CI88" s="6258"/>
      <c r="CJ88" s="6259"/>
      <c r="CK88" s="2211"/>
      <c r="CL88" s="2345"/>
      <c r="CM88" s="2345" t="str">
        <f t="shared" si="4"/>
        <v>Добавить группу потребителей</v>
      </c>
      <c r="CN88" s="2345"/>
      <c r="CO88" s="2345"/>
    </row>
    <row r="89" spans="1:93" s="6260" customFormat="1" ht="14.25" customHeight="1">
      <c r="A89" s="1871"/>
      <c r="B89" s="1871"/>
      <c r="C89" s="1871"/>
      <c r="D89" s="1871"/>
      <c r="E89" s="6794"/>
      <c r="F89" s="6794" t="s">
        <v>98</v>
      </c>
      <c r="G89" s="6794"/>
      <c r="H89" s="6793"/>
      <c r="I89" s="1871"/>
      <c r="J89" s="1871"/>
      <c r="K89" s="1871"/>
      <c r="L89" s="1871"/>
      <c r="M89" s="5886"/>
      <c r="N89" s="5887"/>
      <c r="O89" s="5887"/>
      <c r="P89" s="2077"/>
      <c r="Q89" s="2487"/>
      <c r="R89" s="2488"/>
      <c r="S89" s="2489"/>
      <c r="T89" s="2487"/>
      <c r="U89" s="5385"/>
      <c r="V89" s="5386"/>
      <c r="W89" s="5168"/>
      <c r="X89" s="5168"/>
      <c r="Y89" s="5168"/>
      <c r="Z89" s="5168"/>
      <c r="AA89" s="5168"/>
      <c r="AB89" s="5168"/>
      <c r="AC89" s="5168"/>
      <c r="AD89" s="5168"/>
      <c r="AE89" s="5168"/>
      <c r="AF89" s="5168"/>
      <c r="AG89" s="5168"/>
      <c r="AH89" s="5168"/>
      <c r="AI89" s="5168"/>
      <c r="AJ89" s="5168"/>
      <c r="AK89" s="5168"/>
      <c r="AL89" s="5168"/>
      <c r="AM89" s="5168"/>
      <c r="AN89" s="5168"/>
      <c r="AO89" s="5168"/>
      <c r="AP89" s="5168"/>
      <c r="AQ89" s="5168"/>
      <c r="AR89" s="5168"/>
      <c r="AS89" s="5168"/>
      <c r="AT89" s="5168"/>
      <c r="AU89" s="5168"/>
      <c r="AV89" s="5168"/>
      <c r="AW89" s="5168"/>
      <c r="AX89" s="5168"/>
      <c r="AY89" s="5168"/>
      <c r="AZ89" s="5168"/>
      <c r="BA89" s="5168"/>
      <c r="BB89" s="5168"/>
      <c r="BC89" s="5168"/>
      <c r="BD89" s="5168"/>
      <c r="BE89" s="5168"/>
      <c r="BF89" s="5168"/>
      <c r="BG89" s="5168"/>
      <c r="BH89" s="5168"/>
      <c r="BI89" s="5168"/>
      <c r="BJ89" s="5168"/>
      <c r="BK89" s="5168"/>
      <c r="BL89" s="5168"/>
      <c r="BM89" s="5168"/>
      <c r="BN89" s="5168"/>
      <c r="BO89" s="5168"/>
      <c r="BP89" s="5168"/>
      <c r="BQ89" s="5168"/>
      <c r="BR89" s="5168"/>
      <c r="BS89" s="5168"/>
      <c r="BT89" s="5168"/>
      <c r="BU89" s="5168"/>
      <c r="BV89" s="5168"/>
      <c r="BW89" s="5168"/>
      <c r="BX89" s="5168"/>
      <c r="BY89" s="5168"/>
      <c r="BZ89" s="5168"/>
      <c r="CA89" s="5168"/>
      <c r="CB89" s="5168"/>
      <c r="CC89" s="5168"/>
      <c r="CD89" s="5168"/>
      <c r="CE89" s="5168"/>
      <c r="CF89" s="5168"/>
      <c r="CG89" s="5168"/>
      <c r="CH89" s="5168"/>
      <c r="CI89" s="5168"/>
      <c r="CJ89" s="5387"/>
      <c r="CK89" s="2211"/>
      <c r="CL89" s="2345"/>
      <c r="CM89" s="2345" t="str">
        <f t="shared" si="4"/>
        <v/>
      </c>
      <c r="CN89" s="2345"/>
      <c r="CO89" s="2345"/>
    </row>
    <row r="90" spans="1:93" s="6261" customFormat="1" ht="14.25" customHeight="1">
      <c r="A90" s="6079"/>
      <c r="B90" s="6079"/>
      <c r="C90" s="6079"/>
      <c r="D90" s="6079"/>
      <c r="E90" s="6794"/>
      <c r="F90" s="6794" t="s">
        <v>98</v>
      </c>
      <c r="G90" s="6793"/>
      <c r="H90" s="6079"/>
      <c r="I90" s="6079"/>
      <c r="J90" s="6079"/>
      <c r="K90" s="6079"/>
      <c r="L90" s="6079"/>
      <c r="M90" s="6080"/>
      <c r="N90" s="6081"/>
      <c r="O90" s="6081"/>
      <c r="P90" s="6082"/>
      <c r="Q90" s="2555"/>
      <c r="R90" s="2556"/>
      <c r="S90" s="2555"/>
      <c r="T90" s="2555"/>
      <c r="U90" s="2557"/>
      <c r="V90" s="2558" t="s">
        <v>228</v>
      </c>
      <c r="W90" s="2203"/>
      <c r="X90" s="2203"/>
      <c r="Y90" s="2203"/>
      <c r="Z90" s="2203"/>
      <c r="AA90" s="2203"/>
      <c r="AB90" s="2203"/>
      <c r="AC90" s="2203"/>
      <c r="AD90" s="2203"/>
      <c r="AE90" s="2203"/>
      <c r="AF90" s="2203"/>
      <c r="AG90" s="2203"/>
      <c r="AH90" s="2203"/>
      <c r="AI90" s="2203"/>
      <c r="AJ90" s="2203"/>
      <c r="AK90" s="2203"/>
      <c r="AL90" s="2203"/>
      <c r="AM90" s="2203"/>
      <c r="AN90" s="2203"/>
      <c r="AO90" s="2203"/>
      <c r="AP90" s="2203"/>
      <c r="AQ90" s="2203"/>
      <c r="AR90" s="2203"/>
      <c r="AS90" s="2203"/>
      <c r="AT90" s="2203"/>
      <c r="AU90" s="2203"/>
      <c r="AV90" s="2203"/>
      <c r="AW90" s="2203"/>
      <c r="AX90" s="2203"/>
      <c r="AY90" s="2203"/>
      <c r="AZ90" s="2203"/>
      <c r="BA90" s="2203"/>
      <c r="BB90" s="2203"/>
      <c r="BC90" s="2203"/>
      <c r="BD90" s="2203"/>
      <c r="BE90" s="2203"/>
      <c r="BF90" s="2203"/>
      <c r="BG90" s="2203"/>
      <c r="BH90" s="2203"/>
      <c r="BI90" s="2203"/>
      <c r="BJ90" s="2203"/>
      <c r="BK90" s="2203"/>
      <c r="BL90" s="2203"/>
      <c r="BM90" s="2203"/>
      <c r="BN90" s="2203"/>
      <c r="BO90" s="2203"/>
      <c r="BP90" s="2203"/>
      <c r="BQ90" s="2203"/>
      <c r="BR90" s="2203"/>
      <c r="BS90" s="2203"/>
      <c r="BT90" s="2203"/>
      <c r="BU90" s="2203"/>
      <c r="BV90" s="2203"/>
      <c r="BW90" s="2203"/>
      <c r="BX90" s="2203"/>
      <c r="BY90" s="2203"/>
      <c r="BZ90" s="2203"/>
      <c r="CA90" s="2203"/>
      <c r="CB90" s="2203"/>
      <c r="CC90" s="2203"/>
      <c r="CD90" s="2203"/>
      <c r="CE90" s="2203"/>
      <c r="CF90" s="2203"/>
      <c r="CG90" s="2203"/>
      <c r="CH90" s="2203"/>
      <c r="CI90" s="2203"/>
      <c r="CJ90" s="2203"/>
      <c r="CK90" s="2211"/>
      <c r="CL90" s="2345"/>
      <c r="CM90" s="2345" t="str">
        <f t="shared" si="4"/>
        <v>Добавить источник для дифференциации</v>
      </c>
      <c r="CN90" s="2345"/>
      <c r="CO90" s="2345"/>
    </row>
    <row r="91" spans="1:93" s="6262" customFormat="1" ht="14.25" customHeight="1">
      <c r="A91" s="6079"/>
      <c r="B91" s="6079"/>
      <c r="C91" s="6079"/>
      <c r="D91" s="6079"/>
      <c r="E91" s="6794"/>
      <c r="F91" s="6793" t="s">
        <v>98</v>
      </c>
      <c r="G91" s="6079"/>
      <c r="H91" s="6079"/>
      <c r="I91" s="6079"/>
      <c r="J91" s="6079"/>
      <c r="K91" s="6079"/>
      <c r="L91" s="6079"/>
      <c r="M91" s="6080"/>
      <c r="N91" s="6084"/>
      <c r="O91" s="6084"/>
      <c r="P91" s="6082"/>
      <c r="Q91" s="2555"/>
      <c r="R91" s="2556"/>
      <c r="S91" s="2555"/>
      <c r="T91" s="2555"/>
      <c r="U91" s="2561"/>
      <c r="V91" s="2562" t="s">
        <v>229</v>
      </c>
      <c r="W91" s="2204"/>
      <c r="X91" s="2204"/>
      <c r="Y91" s="2204"/>
      <c r="Z91" s="2204"/>
      <c r="AA91" s="2204"/>
      <c r="AB91" s="2204"/>
      <c r="AC91" s="2204"/>
      <c r="AD91" s="2204"/>
      <c r="AE91" s="2204"/>
      <c r="AF91" s="2204"/>
      <c r="AG91" s="2204"/>
      <c r="AH91" s="2204"/>
      <c r="AI91" s="2204"/>
      <c r="AJ91" s="2204"/>
      <c r="AK91" s="2204"/>
      <c r="AL91" s="2204"/>
      <c r="AM91" s="2204"/>
      <c r="AN91" s="2204"/>
      <c r="AO91" s="2204"/>
      <c r="AP91" s="2204"/>
      <c r="AQ91" s="2204"/>
      <c r="AR91" s="2204"/>
      <c r="AS91" s="2204"/>
      <c r="AT91" s="2204"/>
      <c r="AU91" s="2204"/>
      <c r="AV91" s="2204"/>
      <c r="AW91" s="2204"/>
      <c r="AX91" s="2204"/>
      <c r="AY91" s="2204"/>
      <c r="AZ91" s="2204"/>
      <c r="BA91" s="2204"/>
      <c r="BB91" s="2204"/>
      <c r="BC91" s="2204"/>
      <c r="BD91" s="2204"/>
      <c r="BE91" s="2204"/>
      <c r="BF91" s="2204"/>
      <c r="BG91" s="2204"/>
      <c r="BH91" s="2204"/>
      <c r="BI91" s="2204"/>
      <c r="BJ91" s="2204"/>
      <c r="BK91" s="2204"/>
      <c r="BL91" s="2204"/>
      <c r="BM91" s="2204"/>
      <c r="BN91" s="2204"/>
      <c r="BO91" s="2204"/>
      <c r="BP91" s="2204"/>
      <c r="BQ91" s="2204"/>
      <c r="BR91" s="2204"/>
      <c r="BS91" s="2204"/>
      <c r="BT91" s="2204"/>
      <c r="BU91" s="2204"/>
      <c r="BV91" s="2204"/>
      <c r="BW91" s="2204"/>
      <c r="BX91" s="2204"/>
      <c r="BY91" s="2204"/>
      <c r="BZ91" s="2204"/>
      <c r="CA91" s="2204"/>
      <c r="CB91" s="2204"/>
      <c r="CC91" s="2204"/>
      <c r="CD91" s="2204"/>
      <c r="CE91" s="2204"/>
      <c r="CF91" s="2204"/>
      <c r="CG91" s="2204"/>
      <c r="CH91" s="2204"/>
      <c r="CI91" s="2204"/>
      <c r="CJ91" s="2204"/>
      <c r="CK91" s="2211"/>
      <c r="CL91" s="2345"/>
      <c r="CM91" s="2345" t="str">
        <f t="shared" si="4"/>
        <v>Добавить централизованную систему для дифференциации</v>
      </c>
      <c r="CN91" s="2345"/>
      <c r="CO91" s="2345"/>
    </row>
    <row r="92" spans="1:93" s="6263" customFormat="1" ht="21" customHeight="1">
      <c r="A92" s="1871"/>
      <c r="B92" s="1871" t="s">
        <v>305</v>
      </c>
      <c r="C92" s="1871"/>
      <c r="D92" s="1871"/>
      <c r="E92" s="6794"/>
      <c r="F92" s="6793" t="s">
        <v>90</v>
      </c>
      <c r="G92" s="1871"/>
      <c r="H92" s="1871"/>
      <c r="I92" s="1871"/>
      <c r="J92" s="1871"/>
      <c r="K92" s="1871"/>
      <c r="L92" s="1871"/>
      <c r="M92" s="5886"/>
      <c r="N92" s="5887"/>
      <c r="O92" s="5887"/>
      <c r="P92" s="5887"/>
      <c r="Q92" s="2338"/>
      <c r="R92" s="2339"/>
      <c r="S92" s="2077"/>
      <c r="T92" s="2340"/>
      <c r="U92" s="2341" t="str">
        <f>INDEX(PT_DIFFERENTIATION_NUM_TER,MATCH(B92,PT_DIFFERENTIATION_TER_ID,0))</f>
        <v>1.4</v>
      </c>
      <c r="V92" s="2342" t="s">
        <v>517</v>
      </c>
      <c r="W92" s="2343"/>
      <c r="X92" s="6749"/>
      <c r="Y92" s="6750"/>
      <c r="Z92" s="6750"/>
      <c r="AA92" s="6750"/>
      <c r="AB92" s="6750"/>
      <c r="AC92" s="6750"/>
      <c r="AD92" s="6750"/>
      <c r="AE92" s="6750"/>
      <c r="AF92" s="6751"/>
      <c r="AG92" s="6749" t="str">
        <f>INDEX(PT_DIFFERENTIATION_TER,MATCH(B92,PT_DIFFERENTIATION_TER_ID,0))</f>
        <v>Территория 13</v>
      </c>
      <c r="AH92" s="6750"/>
      <c r="AI92" s="6750"/>
      <c r="AJ92" s="6750"/>
      <c r="AK92" s="6750"/>
      <c r="AL92" s="6750"/>
      <c r="AM92" s="6750"/>
      <c r="AN92" s="6750"/>
      <c r="AO92" s="6750"/>
      <c r="AP92" s="6749"/>
      <c r="AQ92" s="6750"/>
      <c r="AR92" s="6750"/>
      <c r="AS92" s="6750"/>
      <c r="AT92" s="6750"/>
      <c r="AU92" s="6750"/>
      <c r="AV92" s="6750"/>
      <c r="AW92" s="6750"/>
      <c r="AX92" s="6751"/>
      <c r="AY92" s="6749"/>
      <c r="AZ92" s="6750"/>
      <c r="BA92" s="6750"/>
      <c r="BB92" s="6750"/>
      <c r="BC92" s="6750"/>
      <c r="BD92" s="6750"/>
      <c r="BE92" s="6750"/>
      <c r="BF92" s="6750"/>
      <c r="BG92" s="6751"/>
      <c r="BH92" s="6749"/>
      <c r="BI92" s="6750"/>
      <c r="BJ92" s="6750"/>
      <c r="BK92" s="6750"/>
      <c r="BL92" s="6750"/>
      <c r="BM92" s="6750"/>
      <c r="BN92" s="6750"/>
      <c r="BO92" s="6750"/>
      <c r="BP92" s="6751"/>
      <c r="BQ92" s="6749"/>
      <c r="BR92" s="6750"/>
      <c r="BS92" s="6750"/>
      <c r="BT92" s="6750"/>
      <c r="BU92" s="6750"/>
      <c r="BV92" s="6750"/>
      <c r="BW92" s="6750"/>
      <c r="BX92" s="6750"/>
      <c r="BY92" s="6751"/>
      <c r="BZ92" s="6749"/>
      <c r="CA92" s="6750"/>
      <c r="CB92" s="6750"/>
      <c r="CC92" s="6750"/>
      <c r="CD92" s="6750"/>
      <c r="CE92" s="6750"/>
      <c r="CF92" s="6750"/>
      <c r="CG92" s="6750"/>
      <c r="CH92" s="6751"/>
      <c r="CI92" s="6751"/>
      <c r="CJ92" s="2344" t="s">
        <v>518</v>
      </c>
      <c r="CK92" s="2211"/>
      <c r="CL92" s="2345"/>
      <c r="CM92" s="2345" t="str">
        <f t="shared" si="4"/>
        <v>Территория действия тарифа</v>
      </c>
      <c r="CN92" s="2345"/>
      <c r="CO92" s="2345"/>
    </row>
    <row r="93" spans="1:93" s="6264" customFormat="1" ht="22.5" customHeight="1">
      <c r="A93" s="1871"/>
      <c r="B93" s="1871"/>
      <c r="C93" s="1871" t="s">
        <v>306</v>
      </c>
      <c r="D93" s="1871"/>
      <c r="E93" s="6794"/>
      <c r="F93" s="6794" t="s">
        <v>89</v>
      </c>
      <c r="G93" s="6793">
        <v>1</v>
      </c>
      <c r="H93" s="1871"/>
      <c r="I93" s="1871"/>
      <c r="J93" s="1871"/>
      <c r="K93" s="1871"/>
      <c r="L93" s="1871"/>
      <c r="M93" s="5886"/>
      <c r="N93" s="5887"/>
      <c r="O93" s="5887"/>
      <c r="P93" s="5887"/>
      <c r="Q93" s="2347"/>
      <c r="R93" s="2339"/>
      <c r="S93" s="2077"/>
      <c r="T93" s="2340"/>
      <c r="U93" s="2341" t="str">
        <f>INDEX(PT_DIFFERENTIATION_NUM_CS,MATCH(C93,PT_DIFFERENTIATION_CS_ID,0))</f>
        <v>1.4.1</v>
      </c>
      <c r="V93" s="2348" t="s">
        <v>519</v>
      </c>
      <c r="W93" s="2343"/>
      <c r="X93" s="6749"/>
      <c r="Y93" s="6750"/>
      <c r="Z93" s="6750"/>
      <c r="AA93" s="6750"/>
      <c r="AB93" s="6750"/>
      <c r="AC93" s="6750"/>
      <c r="AD93" s="6750"/>
      <c r="AE93" s="6750"/>
      <c r="AF93" s="6751"/>
      <c r="AG93" s="6749" t="str">
        <f>INDEX(PT_DIFFERENTIATION_CS,MATCH(C93,PT_DIFFERENTIATION_CS_ID,0))</f>
        <v>без дифференциации</v>
      </c>
      <c r="AH93" s="6750"/>
      <c r="AI93" s="6750"/>
      <c r="AJ93" s="6750"/>
      <c r="AK93" s="6750"/>
      <c r="AL93" s="6750"/>
      <c r="AM93" s="6750"/>
      <c r="AN93" s="6750"/>
      <c r="AO93" s="6750"/>
      <c r="AP93" s="6749"/>
      <c r="AQ93" s="6750"/>
      <c r="AR93" s="6750"/>
      <c r="AS93" s="6750"/>
      <c r="AT93" s="6750"/>
      <c r="AU93" s="6750"/>
      <c r="AV93" s="6750"/>
      <c r="AW93" s="6750"/>
      <c r="AX93" s="6751"/>
      <c r="AY93" s="6749"/>
      <c r="AZ93" s="6750"/>
      <c r="BA93" s="6750"/>
      <c r="BB93" s="6750"/>
      <c r="BC93" s="6750"/>
      <c r="BD93" s="6750"/>
      <c r="BE93" s="6750"/>
      <c r="BF93" s="6750"/>
      <c r="BG93" s="6751"/>
      <c r="BH93" s="6749"/>
      <c r="BI93" s="6750"/>
      <c r="BJ93" s="6750"/>
      <c r="BK93" s="6750"/>
      <c r="BL93" s="6750"/>
      <c r="BM93" s="6750"/>
      <c r="BN93" s="6750"/>
      <c r="BO93" s="6750"/>
      <c r="BP93" s="6751"/>
      <c r="BQ93" s="6749"/>
      <c r="BR93" s="6750"/>
      <c r="BS93" s="6750"/>
      <c r="BT93" s="6750"/>
      <c r="BU93" s="6750"/>
      <c r="BV93" s="6750"/>
      <c r="BW93" s="6750"/>
      <c r="BX93" s="6750"/>
      <c r="BY93" s="6751"/>
      <c r="BZ93" s="6749"/>
      <c r="CA93" s="6750"/>
      <c r="CB93" s="6750"/>
      <c r="CC93" s="6750"/>
      <c r="CD93" s="6750"/>
      <c r="CE93" s="6750"/>
      <c r="CF93" s="6750"/>
      <c r="CG93" s="6750"/>
      <c r="CH93" s="6751"/>
      <c r="CI93" s="6751"/>
      <c r="CJ93" s="2344" t="s">
        <v>520</v>
      </c>
      <c r="CK93" s="2211"/>
      <c r="CL93" s="2345"/>
      <c r="CM93" s="2345" t="str">
        <f t="shared" si="4"/>
        <v xml:space="preserve">Наименование системы теплоснабжения </v>
      </c>
      <c r="CN93" s="2345"/>
      <c r="CO93" s="2345"/>
    </row>
    <row r="94" spans="1:93" s="6265" customFormat="1" ht="21" customHeight="1">
      <c r="A94" s="1871"/>
      <c r="B94" s="1871"/>
      <c r="C94" s="1871"/>
      <c r="D94" s="1871" t="s">
        <v>307</v>
      </c>
      <c r="E94" s="6794"/>
      <c r="F94" s="6794" t="s">
        <v>89</v>
      </c>
      <c r="G94" s="6794"/>
      <c r="H94" s="6793">
        <v>1</v>
      </c>
      <c r="I94" s="1871"/>
      <c r="J94" s="1871"/>
      <c r="K94" s="1871"/>
      <c r="L94" s="1871"/>
      <c r="M94" s="5886"/>
      <c r="N94" s="5887"/>
      <c r="O94" s="5887"/>
      <c r="P94" s="5887"/>
      <c r="Q94" s="2347"/>
      <c r="R94" s="2339"/>
      <c r="S94" s="2077"/>
      <c r="T94" s="2340"/>
      <c r="U94" s="2341" t="str">
        <f>INDEX(PT_DIFFERENTIATION_NUM_IST_TE,MATCH(D94,PT_DIFFERENTIATION_IST_TE_ID,0))</f>
        <v>1.4.1.1</v>
      </c>
      <c r="V94" s="2350" t="s">
        <v>521</v>
      </c>
      <c r="W94" s="2343"/>
      <c r="X94" s="6749"/>
      <c r="Y94" s="6750"/>
      <c r="Z94" s="6750"/>
      <c r="AA94" s="6750"/>
      <c r="AB94" s="6750"/>
      <c r="AC94" s="6750"/>
      <c r="AD94" s="6750"/>
      <c r="AE94" s="6750"/>
      <c r="AF94" s="6751"/>
      <c r="AG94" s="6749" t="str">
        <f>INDEX(PT_DIFFERENTIATION_IST_TE,MATCH(D94,PT_DIFFERENTIATION_IST_TE_ID,0))</f>
        <v>без дифференциации</v>
      </c>
      <c r="AH94" s="6750"/>
      <c r="AI94" s="6750"/>
      <c r="AJ94" s="6750"/>
      <c r="AK94" s="6750"/>
      <c r="AL94" s="6750"/>
      <c r="AM94" s="6750"/>
      <c r="AN94" s="6750"/>
      <c r="AO94" s="6750"/>
      <c r="AP94" s="6749"/>
      <c r="AQ94" s="6750"/>
      <c r="AR94" s="6750"/>
      <c r="AS94" s="6750"/>
      <c r="AT94" s="6750"/>
      <c r="AU94" s="6750"/>
      <c r="AV94" s="6750"/>
      <c r="AW94" s="6750"/>
      <c r="AX94" s="6751"/>
      <c r="AY94" s="6749"/>
      <c r="AZ94" s="6750"/>
      <c r="BA94" s="6750"/>
      <c r="BB94" s="6750"/>
      <c r="BC94" s="6750"/>
      <c r="BD94" s="6750"/>
      <c r="BE94" s="6750"/>
      <c r="BF94" s="6750"/>
      <c r="BG94" s="6751"/>
      <c r="BH94" s="6749"/>
      <c r="BI94" s="6750"/>
      <c r="BJ94" s="6750"/>
      <c r="BK94" s="6750"/>
      <c r="BL94" s="6750"/>
      <c r="BM94" s="6750"/>
      <c r="BN94" s="6750"/>
      <c r="BO94" s="6750"/>
      <c r="BP94" s="6751"/>
      <c r="BQ94" s="6749"/>
      <c r="BR94" s="6750"/>
      <c r="BS94" s="6750"/>
      <c r="BT94" s="6750"/>
      <c r="BU94" s="6750"/>
      <c r="BV94" s="6750"/>
      <c r="BW94" s="6750"/>
      <c r="BX94" s="6750"/>
      <c r="BY94" s="6751"/>
      <c r="BZ94" s="6749"/>
      <c r="CA94" s="6750"/>
      <c r="CB94" s="6750"/>
      <c r="CC94" s="6750"/>
      <c r="CD94" s="6750"/>
      <c r="CE94" s="6750"/>
      <c r="CF94" s="6750"/>
      <c r="CG94" s="6750"/>
      <c r="CH94" s="6751"/>
      <c r="CI94" s="6751"/>
      <c r="CJ94" s="2344" t="s">
        <v>522</v>
      </c>
      <c r="CK94" s="2211"/>
      <c r="CL94" s="2345"/>
      <c r="CM94" s="2345" t="str">
        <f t="shared" si="4"/>
        <v xml:space="preserve">Источник тепловой энергии  </v>
      </c>
      <c r="CN94" s="2345"/>
      <c r="CO94" s="2345"/>
    </row>
    <row r="95" spans="1:93" s="6266" customFormat="1" ht="14.25" customHeight="1">
      <c r="A95" s="1871"/>
      <c r="B95" s="1871"/>
      <c r="C95" s="1871"/>
      <c r="D95" s="1871"/>
      <c r="E95" s="6794"/>
      <c r="F95" s="6794" t="s">
        <v>89</v>
      </c>
      <c r="G95" s="6794"/>
      <c r="H95" s="6794"/>
      <c r="I95" s="6629" t="str">
        <f>U94&amp;".1"</f>
        <v>1.4.1.1.1</v>
      </c>
      <c r="J95" s="1871"/>
      <c r="K95" s="1871"/>
      <c r="L95" s="1871"/>
      <c r="M95" s="5886" t="s">
        <v>523</v>
      </c>
      <c r="N95" s="2077"/>
      <c r="O95" s="5891"/>
      <c r="P95" s="5891"/>
      <c r="Q95" s="6762">
        <v>1</v>
      </c>
      <c r="R95" s="2353"/>
      <c r="S95" s="2353"/>
      <c r="T95" s="2354"/>
      <c r="U95" s="5254"/>
      <c r="V95" s="5255"/>
      <c r="W95" s="5256"/>
      <c r="X95" s="6790"/>
      <c r="Y95" s="6791"/>
      <c r="Z95" s="6791"/>
      <c r="AA95" s="6791"/>
      <c r="AB95" s="6791"/>
      <c r="AC95" s="6791"/>
      <c r="AD95" s="6791"/>
      <c r="AE95" s="6791"/>
      <c r="AF95" s="6792"/>
      <c r="AG95" s="6790"/>
      <c r="AH95" s="6791"/>
      <c r="AI95" s="6791"/>
      <c r="AJ95" s="6791"/>
      <c r="AK95" s="6791"/>
      <c r="AL95" s="6791"/>
      <c r="AM95" s="6791"/>
      <c r="AN95" s="6791"/>
      <c r="AO95" s="6791"/>
      <c r="AP95" s="6790"/>
      <c r="AQ95" s="6791"/>
      <c r="AR95" s="6791"/>
      <c r="AS95" s="6791"/>
      <c r="AT95" s="6791"/>
      <c r="AU95" s="6791"/>
      <c r="AV95" s="6791"/>
      <c r="AW95" s="6791"/>
      <c r="AX95" s="6792"/>
      <c r="AY95" s="6790"/>
      <c r="AZ95" s="6791"/>
      <c r="BA95" s="6791"/>
      <c r="BB95" s="6791"/>
      <c r="BC95" s="6791"/>
      <c r="BD95" s="6791"/>
      <c r="BE95" s="6791"/>
      <c r="BF95" s="6791"/>
      <c r="BG95" s="6792"/>
      <c r="BH95" s="6790"/>
      <c r="BI95" s="6791"/>
      <c r="BJ95" s="6791"/>
      <c r="BK95" s="6791"/>
      <c r="BL95" s="6791"/>
      <c r="BM95" s="6791"/>
      <c r="BN95" s="6791"/>
      <c r="BO95" s="6791"/>
      <c r="BP95" s="6792"/>
      <c r="BQ95" s="6790"/>
      <c r="BR95" s="6791"/>
      <c r="BS95" s="6791"/>
      <c r="BT95" s="6791"/>
      <c r="BU95" s="6791"/>
      <c r="BV95" s="6791"/>
      <c r="BW95" s="6791"/>
      <c r="BX95" s="6791"/>
      <c r="BY95" s="6792"/>
      <c r="BZ95" s="6790"/>
      <c r="CA95" s="6791"/>
      <c r="CB95" s="6791"/>
      <c r="CC95" s="6791"/>
      <c r="CD95" s="6791"/>
      <c r="CE95" s="6791"/>
      <c r="CF95" s="6791"/>
      <c r="CG95" s="6791"/>
      <c r="CH95" s="6792"/>
      <c r="CI95" s="6792"/>
      <c r="CJ95" s="5257"/>
      <c r="CK95" s="2211"/>
      <c r="CL95" s="2345"/>
      <c r="CM95" s="2345" t="str">
        <f t="shared" si="4"/>
        <v/>
      </c>
      <c r="CN95" s="2345"/>
      <c r="CO95" s="2345"/>
    </row>
    <row r="96" spans="1:93" s="6267" customFormat="1" ht="21" customHeight="1">
      <c r="A96" s="1871"/>
      <c r="B96" s="1871"/>
      <c r="C96" s="1871"/>
      <c r="D96" s="1871"/>
      <c r="E96" s="6794"/>
      <c r="F96" s="6794" t="s">
        <v>89</v>
      </c>
      <c r="G96" s="6794"/>
      <c r="H96" s="6794"/>
      <c r="I96" s="6600"/>
      <c r="J96" s="6629" t="str">
        <f>I95&amp;".1"</f>
        <v>1.4.1.1.1.1</v>
      </c>
      <c r="K96" s="1871"/>
      <c r="L96" s="1871"/>
      <c r="M96" s="5886" t="s">
        <v>526</v>
      </c>
      <c r="N96" s="2077"/>
      <c r="O96" s="2077"/>
      <c r="P96" s="5891"/>
      <c r="Q96" s="6762"/>
      <c r="R96" s="6762">
        <v>1</v>
      </c>
      <c r="S96" s="2211"/>
      <c r="T96" s="2357"/>
      <c r="U96" s="2341" t="str">
        <f>$J96</f>
        <v>1.4.1.1.1.1</v>
      </c>
      <c r="V96" s="2358" t="s">
        <v>527</v>
      </c>
      <c r="W96" s="2343"/>
      <c r="X96" s="6752"/>
      <c r="Y96" s="6753"/>
      <c r="Z96" s="6753"/>
      <c r="AA96" s="6753"/>
      <c r="AB96" s="6753"/>
      <c r="AC96" s="6745"/>
      <c r="AD96" s="6745"/>
      <c r="AE96" s="6745"/>
      <c r="AF96" s="6795"/>
      <c r="AG96" s="6752" t="s">
        <v>566</v>
      </c>
      <c r="AH96" s="6753"/>
      <c r="AI96" s="6753"/>
      <c r="AJ96" s="6753"/>
      <c r="AK96" s="6753"/>
      <c r="AL96" s="6753"/>
      <c r="AM96" s="6753"/>
      <c r="AN96" s="6753"/>
      <c r="AO96" s="6753"/>
      <c r="AP96" s="6752"/>
      <c r="AQ96" s="6753"/>
      <c r="AR96" s="6753"/>
      <c r="AS96" s="6753"/>
      <c r="AT96" s="6753"/>
      <c r="AU96" s="6745"/>
      <c r="AV96" s="6745"/>
      <c r="AW96" s="6745"/>
      <c r="AX96" s="6795"/>
      <c r="AY96" s="6752"/>
      <c r="AZ96" s="6753"/>
      <c r="BA96" s="6753"/>
      <c r="BB96" s="6753"/>
      <c r="BC96" s="6753"/>
      <c r="BD96" s="6745"/>
      <c r="BE96" s="6745"/>
      <c r="BF96" s="6745"/>
      <c r="BG96" s="6795"/>
      <c r="BH96" s="6752"/>
      <c r="BI96" s="6753"/>
      <c r="BJ96" s="6753"/>
      <c r="BK96" s="6753"/>
      <c r="BL96" s="6753"/>
      <c r="BM96" s="6745"/>
      <c r="BN96" s="6745"/>
      <c r="BO96" s="6745"/>
      <c r="BP96" s="6795"/>
      <c r="BQ96" s="6752"/>
      <c r="BR96" s="6753"/>
      <c r="BS96" s="6753"/>
      <c r="BT96" s="6753"/>
      <c r="BU96" s="6753"/>
      <c r="BV96" s="6745"/>
      <c r="BW96" s="6745"/>
      <c r="BX96" s="6745"/>
      <c r="BY96" s="6795"/>
      <c r="BZ96" s="6752"/>
      <c r="CA96" s="6753"/>
      <c r="CB96" s="6753"/>
      <c r="CC96" s="6753"/>
      <c r="CD96" s="6753"/>
      <c r="CE96" s="6745"/>
      <c r="CF96" s="6745"/>
      <c r="CG96" s="6745"/>
      <c r="CH96" s="6795"/>
      <c r="CI96" s="6754"/>
      <c r="CJ96" s="2344" t="s">
        <v>528</v>
      </c>
      <c r="CK96" s="2211"/>
      <c r="CL96" s="2345"/>
      <c r="CM96" s="2345" t="str">
        <f t="shared" si="4"/>
        <v>Группа потребителей</v>
      </c>
      <c r="CN96" s="2345"/>
      <c r="CO96" s="2345"/>
    </row>
    <row r="97" spans="1:93" s="6268" customFormat="1" ht="21" customHeight="1">
      <c r="A97" s="1871"/>
      <c r="B97" s="1871"/>
      <c r="C97" s="1871"/>
      <c r="D97" s="1871"/>
      <c r="E97" s="6794"/>
      <c r="F97" s="6794" t="s">
        <v>89</v>
      </c>
      <c r="G97" s="6794"/>
      <c r="H97" s="6794"/>
      <c r="I97" s="6600"/>
      <c r="J97" s="6600"/>
      <c r="K97" s="6629" t="str">
        <f>J96&amp;".1"</f>
        <v>1.4.1.1.1.1.1</v>
      </c>
      <c r="L97" s="2338"/>
      <c r="M97" s="5886" t="s">
        <v>529</v>
      </c>
      <c r="N97" s="2077"/>
      <c r="O97" s="2077"/>
      <c r="P97" s="2077"/>
      <c r="Q97" s="6762"/>
      <c r="R97" s="6762"/>
      <c r="S97" s="6762">
        <v>1</v>
      </c>
      <c r="T97" s="2357"/>
      <c r="U97" s="2341" t="str">
        <f>$K97</f>
        <v>1.4.1.1.1.1.1</v>
      </c>
      <c r="V97" s="2360" t="s">
        <v>567</v>
      </c>
      <c r="W97" s="2343"/>
      <c r="X97" s="2763"/>
      <c r="Y97" s="2763"/>
      <c r="Z97" s="2763"/>
      <c r="AA97" s="2763"/>
      <c r="AB97" s="2764"/>
      <c r="AC97" s="6768"/>
      <c r="AD97" s="6769" t="s">
        <v>61</v>
      </c>
      <c r="AE97" s="6768"/>
      <c r="AF97" s="6769" t="s">
        <v>61</v>
      </c>
      <c r="AG97" s="5894"/>
      <c r="AH97" s="2078">
        <v>45.18</v>
      </c>
      <c r="AI97" s="2078">
        <v>2931.16</v>
      </c>
      <c r="AJ97" s="2078"/>
      <c r="AK97" s="2080"/>
      <c r="AL97" s="6766">
        <v>45292.758483796293</v>
      </c>
      <c r="AM97" s="6610" t="s">
        <v>61</v>
      </c>
      <c r="AN97" s="6766">
        <v>45838.758599537039</v>
      </c>
      <c r="AO97" s="6610" t="s">
        <v>61</v>
      </c>
      <c r="AP97" s="2078"/>
      <c r="AQ97" s="2078">
        <v>47.69</v>
      </c>
      <c r="AR97" s="2078">
        <v>3145.76</v>
      </c>
      <c r="AS97" s="2078"/>
      <c r="AT97" s="5656"/>
      <c r="AU97" s="6766">
        <v>45839.758923611109</v>
      </c>
      <c r="AV97" s="6610" t="s">
        <v>61</v>
      </c>
      <c r="AW97" s="6766">
        <v>46203.759097222224</v>
      </c>
      <c r="AX97" s="6610" t="s">
        <v>61</v>
      </c>
      <c r="AY97" s="2078"/>
      <c r="AZ97" s="2078">
        <v>49.51</v>
      </c>
      <c r="BA97" s="2078">
        <v>3254.1</v>
      </c>
      <c r="BB97" s="2078"/>
      <c r="BC97" s="5656"/>
      <c r="BD97" s="6766">
        <v>46204.759375000001</v>
      </c>
      <c r="BE97" s="6610" t="s">
        <v>61</v>
      </c>
      <c r="BF97" s="6766">
        <v>46568.759664351855</v>
      </c>
      <c r="BG97" s="6610" t="s">
        <v>61</v>
      </c>
      <c r="BH97" s="2078"/>
      <c r="BI97" s="2078">
        <v>51.4</v>
      </c>
      <c r="BJ97" s="2078">
        <v>3362.23</v>
      </c>
      <c r="BK97" s="2078"/>
      <c r="BL97" s="5656"/>
      <c r="BM97" s="6766">
        <v>46569.759976851848</v>
      </c>
      <c r="BN97" s="6610" t="s">
        <v>61</v>
      </c>
      <c r="BO97" s="6766">
        <v>46934.76017361111</v>
      </c>
      <c r="BP97" s="6610" t="s">
        <v>61</v>
      </c>
      <c r="BQ97" s="2078"/>
      <c r="BR97" s="2078">
        <v>53.37</v>
      </c>
      <c r="BS97" s="2078">
        <v>3474.04</v>
      </c>
      <c r="BT97" s="2078"/>
      <c r="BU97" s="5656"/>
      <c r="BV97" s="6766">
        <v>46935.760671296295</v>
      </c>
      <c r="BW97" s="6610" t="s">
        <v>61</v>
      </c>
      <c r="BX97" s="6766">
        <v>46783.76085648148</v>
      </c>
      <c r="BY97" s="6610" t="s">
        <v>56</v>
      </c>
      <c r="BZ97" s="2763"/>
      <c r="CA97" s="2763"/>
      <c r="CB97" s="2763"/>
      <c r="CC97" s="2763"/>
      <c r="CD97" s="2764"/>
      <c r="CE97" s="6768"/>
      <c r="CF97" s="6769" t="s">
        <v>61</v>
      </c>
      <c r="CG97" s="6768"/>
      <c r="CH97" s="6769" t="s">
        <v>61</v>
      </c>
      <c r="CI97" s="2079"/>
      <c r="CJ97" s="5895" t="s">
        <v>570</v>
      </c>
      <c r="CK97" s="2211" t="e">
        <f ca="1">STRCHECKDATE(X99:CI99)</f>
        <v>#NAME?</v>
      </c>
      <c r="CL97" s="2345"/>
      <c r="CM97" s="2345" t="str">
        <f t="shared" si="4"/>
        <v>вода</v>
      </c>
      <c r="CN97" s="2345"/>
      <c r="CO97" s="2345"/>
    </row>
    <row r="98" spans="1:93" s="6269" customFormat="1" ht="21" customHeight="1">
      <c r="A98" s="1871"/>
      <c r="B98" s="1871"/>
      <c r="C98" s="1871"/>
      <c r="D98" s="1871"/>
      <c r="E98" s="6794"/>
      <c r="F98" s="6794" t="s">
        <v>89</v>
      </c>
      <c r="G98" s="6794"/>
      <c r="H98" s="6794"/>
      <c r="I98" s="6600"/>
      <c r="J98" s="6600"/>
      <c r="K98" s="6600"/>
      <c r="L98" s="6629" t="str">
        <f>K97&amp;".1"</f>
        <v>1.4.1.1.1.1.1.1</v>
      </c>
      <c r="M98" s="5886"/>
      <c r="N98" s="2077"/>
      <c r="O98" s="2077"/>
      <c r="P98" s="2077"/>
      <c r="Q98" s="6762"/>
      <c r="R98" s="6762"/>
      <c r="S98" s="6762"/>
      <c r="T98" s="2357"/>
      <c r="U98" s="2341" t="str">
        <f>$L98</f>
        <v>1.4.1.1.1.1.1.1</v>
      </c>
      <c r="V98" s="5897"/>
      <c r="W98" s="2343"/>
      <c r="X98" s="2763"/>
      <c r="Y98" s="2763"/>
      <c r="Z98" s="2763"/>
      <c r="AA98" s="2763"/>
      <c r="AB98" s="2764"/>
      <c r="AC98" s="6768"/>
      <c r="AD98" s="6769"/>
      <c r="AE98" s="6768"/>
      <c r="AF98" s="6769"/>
      <c r="AG98" s="5894"/>
      <c r="AH98" s="2078"/>
      <c r="AI98" s="2078"/>
      <c r="AJ98" s="2078"/>
      <c r="AK98" s="2080"/>
      <c r="AL98" s="6767"/>
      <c r="AM98" s="6610"/>
      <c r="AN98" s="6767"/>
      <c r="AO98" s="6610"/>
      <c r="AP98" s="2079"/>
      <c r="AQ98" s="2078"/>
      <c r="AR98" s="2078"/>
      <c r="AS98" s="2078"/>
      <c r="AT98" s="5656"/>
      <c r="AU98" s="6767"/>
      <c r="AV98" s="6610"/>
      <c r="AW98" s="6767"/>
      <c r="AX98" s="6610"/>
      <c r="AY98" s="2079"/>
      <c r="AZ98" s="2078"/>
      <c r="BA98" s="2078"/>
      <c r="BB98" s="2078"/>
      <c r="BC98" s="5656"/>
      <c r="BD98" s="6767"/>
      <c r="BE98" s="6610"/>
      <c r="BF98" s="6767"/>
      <c r="BG98" s="6610"/>
      <c r="BH98" s="2079"/>
      <c r="BI98" s="2078"/>
      <c r="BJ98" s="2078"/>
      <c r="BK98" s="2078"/>
      <c r="BL98" s="5656"/>
      <c r="BM98" s="6767"/>
      <c r="BN98" s="6610"/>
      <c r="BO98" s="6767"/>
      <c r="BP98" s="6610"/>
      <c r="BQ98" s="2079"/>
      <c r="BR98" s="2078"/>
      <c r="BS98" s="2078"/>
      <c r="BT98" s="2078"/>
      <c r="BU98" s="5656"/>
      <c r="BV98" s="6767"/>
      <c r="BW98" s="6610"/>
      <c r="BX98" s="6767"/>
      <c r="BY98" s="6610"/>
      <c r="BZ98" s="2763"/>
      <c r="CA98" s="2763"/>
      <c r="CB98" s="2763"/>
      <c r="CC98" s="2763"/>
      <c r="CD98" s="2764"/>
      <c r="CE98" s="6768"/>
      <c r="CF98" s="6769"/>
      <c r="CG98" s="6768"/>
      <c r="CH98" s="6769"/>
      <c r="CI98" s="2079"/>
      <c r="CJ98" s="6758" t="s">
        <v>571</v>
      </c>
      <c r="CK98" s="2211"/>
      <c r="CL98" s="2345"/>
      <c r="CM98" s="2345"/>
      <c r="CN98" s="2345"/>
      <c r="CO98" s="2345"/>
    </row>
    <row r="99" spans="1:93" s="6270" customFormat="1" ht="14.25" customHeight="1">
      <c r="A99" s="1871"/>
      <c r="B99" s="1871"/>
      <c r="C99" s="1871"/>
      <c r="D99" s="1871"/>
      <c r="E99" s="6794"/>
      <c r="F99" s="6794" t="s">
        <v>89</v>
      </c>
      <c r="G99" s="6794"/>
      <c r="H99" s="6794"/>
      <c r="I99" s="6600"/>
      <c r="J99" s="6600"/>
      <c r="K99" s="6600"/>
      <c r="L99" s="6629"/>
      <c r="M99" s="5886"/>
      <c r="N99" s="2077"/>
      <c r="O99" s="2077"/>
      <c r="P99" s="2077"/>
      <c r="Q99" s="6762"/>
      <c r="R99" s="6762"/>
      <c r="S99" s="6762"/>
      <c r="T99" s="2357"/>
      <c r="U99" s="2362"/>
      <c r="V99" s="2343"/>
      <c r="W99" s="2343"/>
      <c r="X99" s="2763"/>
      <c r="Y99" s="2763"/>
      <c r="Z99" s="2763"/>
      <c r="AA99" s="2763"/>
      <c r="AB99" s="2764"/>
      <c r="AC99" s="6768"/>
      <c r="AD99" s="6769"/>
      <c r="AE99" s="6768"/>
      <c r="AF99" s="6769"/>
      <c r="AG99" s="5899"/>
      <c r="AH99" s="2079"/>
      <c r="AI99" s="2079"/>
      <c r="AJ99" s="2079"/>
      <c r="AK99" s="2082" t="str">
        <f>AL97&amp;"-"&amp;AN97</f>
        <v>45292,7584837963-45838,758599537</v>
      </c>
      <c r="AL99" s="6767"/>
      <c r="AM99" s="6610"/>
      <c r="AN99" s="6767"/>
      <c r="AO99" s="6610"/>
      <c r="AP99" s="2079"/>
      <c r="AQ99" s="2079"/>
      <c r="AR99" s="2079"/>
      <c r="AS99" s="2079"/>
      <c r="AT99" s="5657" t="str">
        <f>AU97&amp;"-"&amp;AW97</f>
        <v>45839,7589236111-46203,7590972222</v>
      </c>
      <c r="AU99" s="6767"/>
      <c r="AV99" s="6610"/>
      <c r="AW99" s="6767"/>
      <c r="AX99" s="6610"/>
      <c r="AY99" s="2079"/>
      <c r="AZ99" s="2079"/>
      <c r="BA99" s="2079"/>
      <c r="BB99" s="2079"/>
      <c r="BC99" s="5657" t="str">
        <f>BD97&amp;"-"&amp;BF97</f>
        <v>46204,759375-46568,7596643519</v>
      </c>
      <c r="BD99" s="6767"/>
      <c r="BE99" s="6610"/>
      <c r="BF99" s="6767"/>
      <c r="BG99" s="6610"/>
      <c r="BH99" s="2079"/>
      <c r="BI99" s="2079"/>
      <c r="BJ99" s="2079"/>
      <c r="BK99" s="2079"/>
      <c r="BL99" s="5657" t="str">
        <f>BM97&amp;"-"&amp;BO97</f>
        <v>46569,7599768518-46934,7601736111</v>
      </c>
      <c r="BM99" s="6767"/>
      <c r="BN99" s="6610"/>
      <c r="BO99" s="6767"/>
      <c r="BP99" s="6610"/>
      <c r="BQ99" s="2079"/>
      <c r="BR99" s="2079"/>
      <c r="BS99" s="2079"/>
      <c r="BT99" s="2079"/>
      <c r="BU99" s="5657" t="str">
        <f>BV97&amp;"-"&amp;BX97</f>
        <v>46935,7606712963-46783,7608564815</v>
      </c>
      <c r="BV99" s="6767"/>
      <c r="BW99" s="6610"/>
      <c r="BX99" s="6767"/>
      <c r="BY99" s="6610"/>
      <c r="BZ99" s="2763"/>
      <c r="CA99" s="2763"/>
      <c r="CB99" s="2763"/>
      <c r="CC99" s="2763"/>
      <c r="CD99" s="2764"/>
      <c r="CE99" s="6768"/>
      <c r="CF99" s="6769"/>
      <c r="CG99" s="6768"/>
      <c r="CH99" s="6769"/>
      <c r="CI99" s="2079"/>
      <c r="CJ99" s="6759"/>
      <c r="CK99" s="2211"/>
      <c r="CL99" s="2345"/>
      <c r="CM99" s="2345" t="str">
        <f>IF(V99="","",V99)</f>
        <v/>
      </c>
      <c r="CN99" s="2345"/>
      <c r="CO99" s="2345"/>
    </row>
    <row r="100" spans="1:93" s="6271" customFormat="1" ht="11.25" customHeight="1">
      <c r="A100" s="1871"/>
      <c r="B100" s="1871"/>
      <c r="C100" s="1871"/>
      <c r="D100" s="1871"/>
      <c r="E100" s="6794"/>
      <c r="F100" s="6794" t="s">
        <v>89</v>
      </c>
      <c r="G100" s="6794"/>
      <c r="H100" s="6794"/>
      <c r="I100" s="6600"/>
      <c r="J100" s="6600"/>
      <c r="K100" s="6629"/>
      <c r="L100" s="1871"/>
      <c r="M100" s="5886"/>
      <c r="N100" s="2077"/>
      <c r="O100" s="2077"/>
      <c r="P100" s="2077"/>
      <c r="Q100" s="6762"/>
      <c r="R100" s="6762"/>
      <c r="S100" s="6762"/>
      <c r="T100" s="2357"/>
      <c r="U100" s="6272"/>
      <c r="V100" s="6273" t="s">
        <v>572</v>
      </c>
      <c r="W100" s="6274"/>
      <c r="X100" s="2763"/>
      <c r="Y100" s="2763"/>
      <c r="Z100" s="2763"/>
      <c r="AA100" s="2763"/>
      <c r="AB100" s="2082" t="str">
        <f>AC97&amp;"-"&amp;AE97</f>
        <v>-</v>
      </c>
      <c r="AC100" s="6769"/>
      <c r="AD100" s="6769"/>
      <c r="AE100" s="6769"/>
      <c r="AF100" s="6769"/>
      <c r="AG100" s="6275"/>
      <c r="AH100" s="6276"/>
      <c r="AI100" s="6277"/>
      <c r="AJ100" s="6278"/>
      <c r="AK100" s="6279"/>
      <c r="AL100" s="6767"/>
      <c r="AM100" s="6610"/>
      <c r="AN100" s="6767"/>
      <c r="AO100" s="6610"/>
      <c r="AP100" s="6280"/>
      <c r="AQ100" s="6281"/>
      <c r="AR100" s="6282"/>
      <c r="AS100" s="6283"/>
      <c r="AT100" s="6284"/>
      <c r="AU100" s="6767"/>
      <c r="AV100" s="6610"/>
      <c r="AW100" s="6767"/>
      <c r="AX100" s="6610"/>
      <c r="AY100" s="6285"/>
      <c r="AZ100" s="6286"/>
      <c r="BA100" s="6287"/>
      <c r="BB100" s="6288"/>
      <c r="BC100" s="6289"/>
      <c r="BD100" s="6767"/>
      <c r="BE100" s="6610"/>
      <c r="BF100" s="6767"/>
      <c r="BG100" s="6610"/>
      <c r="BH100" s="6290"/>
      <c r="BI100" s="6291"/>
      <c r="BJ100" s="6292"/>
      <c r="BK100" s="6293"/>
      <c r="BL100" s="6294"/>
      <c r="BM100" s="6767"/>
      <c r="BN100" s="6610"/>
      <c r="BO100" s="6767"/>
      <c r="BP100" s="6610"/>
      <c r="BQ100" s="6295"/>
      <c r="BR100" s="6296"/>
      <c r="BS100" s="6297"/>
      <c r="BT100" s="6298"/>
      <c r="BU100" s="6299"/>
      <c r="BV100" s="6767"/>
      <c r="BW100" s="6610"/>
      <c r="BX100" s="6767"/>
      <c r="BY100" s="6610"/>
      <c r="BZ100" s="2763"/>
      <c r="CA100" s="2763"/>
      <c r="CB100" s="2763"/>
      <c r="CC100" s="2763"/>
      <c r="CD100" s="2082" t="str">
        <f>CE97&amp;"-"&amp;CG97</f>
        <v>-</v>
      </c>
      <c r="CE100" s="6769"/>
      <c r="CF100" s="6769"/>
      <c r="CG100" s="6769"/>
      <c r="CH100" s="6769"/>
      <c r="CI100" s="6300"/>
      <c r="CJ100" s="6759"/>
      <c r="CK100" s="2211"/>
      <c r="CL100" s="2345"/>
      <c r="CM100" s="2345"/>
      <c r="CN100" s="2345"/>
      <c r="CO100" s="2345"/>
    </row>
    <row r="101" spans="1:93" s="6301" customFormat="1" ht="15" customHeight="1">
      <c r="A101" s="1871"/>
      <c r="B101" s="1871"/>
      <c r="C101" s="1871"/>
      <c r="D101" s="1871"/>
      <c r="E101" s="6794"/>
      <c r="F101" s="6794" t="s">
        <v>89</v>
      </c>
      <c r="G101" s="6794"/>
      <c r="H101" s="6794"/>
      <c r="I101" s="6600"/>
      <c r="J101" s="6629"/>
      <c r="K101" s="1871"/>
      <c r="L101" s="1871"/>
      <c r="M101" s="5886"/>
      <c r="N101" s="2077"/>
      <c r="O101" s="2077"/>
      <c r="P101" s="5891"/>
      <c r="Q101" s="6762"/>
      <c r="R101" s="6762"/>
      <c r="S101" s="2353"/>
      <c r="T101" s="2354"/>
      <c r="U101" s="6302"/>
      <c r="V101" s="6303" t="s">
        <v>531</v>
      </c>
      <c r="W101" s="6304"/>
      <c r="X101" s="6305"/>
      <c r="Y101" s="6306"/>
      <c r="Z101" s="6307"/>
      <c r="AA101" s="6308"/>
      <c r="AB101" s="6309"/>
      <c r="AC101" s="6310"/>
      <c r="AD101" s="6311"/>
      <c r="AE101" s="6312"/>
      <c r="AF101" s="6313"/>
      <c r="AG101" s="6314"/>
      <c r="AH101" s="6315"/>
      <c r="AI101" s="6316"/>
      <c r="AJ101" s="6317"/>
      <c r="AK101" s="6318"/>
      <c r="AL101" s="6319"/>
      <c r="AM101" s="6320"/>
      <c r="AN101" s="6321"/>
      <c r="AO101" s="6322"/>
      <c r="AP101" s="6323"/>
      <c r="AQ101" s="6324"/>
      <c r="AR101" s="6325"/>
      <c r="AS101" s="6326"/>
      <c r="AT101" s="6327"/>
      <c r="AU101" s="6328"/>
      <c r="AV101" s="6329"/>
      <c r="AW101" s="6330"/>
      <c r="AX101" s="6331"/>
      <c r="AY101" s="6332"/>
      <c r="AZ101" s="6333"/>
      <c r="BA101" s="6334"/>
      <c r="BB101" s="6335"/>
      <c r="BC101" s="6336"/>
      <c r="BD101" s="6337"/>
      <c r="BE101" s="6338"/>
      <c r="BF101" s="6339"/>
      <c r="BG101" s="6340"/>
      <c r="BH101" s="6341"/>
      <c r="BI101" s="6342"/>
      <c r="BJ101" s="6343"/>
      <c r="BK101" s="6344"/>
      <c r="BL101" s="6345"/>
      <c r="BM101" s="6346"/>
      <c r="BN101" s="6347"/>
      <c r="BO101" s="6348"/>
      <c r="BP101" s="6349"/>
      <c r="BQ101" s="6350"/>
      <c r="BR101" s="6351"/>
      <c r="BS101" s="6352"/>
      <c r="BT101" s="6353"/>
      <c r="BU101" s="6354"/>
      <c r="BV101" s="6355"/>
      <c r="BW101" s="6356"/>
      <c r="BX101" s="6357"/>
      <c r="BY101" s="6358"/>
      <c r="BZ101" s="6359"/>
      <c r="CA101" s="6360"/>
      <c r="CB101" s="6361"/>
      <c r="CC101" s="6362"/>
      <c r="CD101" s="6363"/>
      <c r="CE101" s="6364"/>
      <c r="CF101" s="6365"/>
      <c r="CG101" s="6366"/>
      <c r="CH101" s="6367"/>
      <c r="CI101" s="6368"/>
      <c r="CJ101" s="6760"/>
      <c r="CK101" s="2211"/>
      <c r="CL101" s="2345"/>
      <c r="CM101" s="2345" t="str">
        <f t="shared" ref="CM101:CM107" si="5">IF(V101="","",V101)</f>
        <v>Добавить вид теплоносителя (параметры теплоносителя)</v>
      </c>
      <c r="CN101" s="2345"/>
      <c r="CO101" s="2345"/>
    </row>
    <row r="102" spans="1:93" s="6369" customFormat="1" ht="11.25" customHeight="1">
      <c r="A102" s="1871"/>
      <c r="B102" s="1871"/>
      <c r="C102" s="1871"/>
      <c r="D102" s="1871"/>
      <c r="E102" s="6794"/>
      <c r="F102" s="6794" t="s">
        <v>89</v>
      </c>
      <c r="G102" s="6794"/>
      <c r="H102" s="6794"/>
      <c r="I102" s="6629"/>
      <c r="J102" s="1871"/>
      <c r="K102" s="1871"/>
      <c r="L102" s="1871"/>
      <c r="M102" s="5886"/>
      <c r="N102" s="2077"/>
      <c r="O102" s="5891"/>
      <c r="P102" s="5891"/>
      <c r="Q102" s="6762"/>
      <c r="R102" s="2353"/>
      <c r="S102" s="2353"/>
      <c r="T102" s="2354"/>
      <c r="U102" s="6370"/>
      <c r="V102" s="6371" t="s">
        <v>532</v>
      </c>
      <c r="W102" s="6372"/>
      <c r="X102" s="6373"/>
      <c r="Y102" s="6374"/>
      <c r="Z102" s="6375"/>
      <c r="AA102" s="6376"/>
      <c r="AB102" s="6377"/>
      <c r="AC102" s="6378"/>
      <c r="AD102" s="6379"/>
      <c r="AE102" s="6380"/>
      <c r="AF102" s="6381"/>
      <c r="AG102" s="6382"/>
      <c r="AH102" s="6383"/>
      <c r="AI102" s="6384"/>
      <c r="AJ102" s="6385"/>
      <c r="AK102" s="6386"/>
      <c r="AL102" s="6387"/>
      <c r="AM102" s="6388"/>
      <c r="AN102" s="6389"/>
      <c r="AO102" s="6390"/>
      <c r="AP102" s="6391"/>
      <c r="AQ102" s="6392"/>
      <c r="AR102" s="6393"/>
      <c r="AS102" s="6394"/>
      <c r="AT102" s="6395"/>
      <c r="AU102" s="6396"/>
      <c r="AV102" s="6397"/>
      <c r="AW102" s="6398"/>
      <c r="AX102" s="6399"/>
      <c r="AY102" s="6400"/>
      <c r="AZ102" s="6401"/>
      <c r="BA102" s="6402"/>
      <c r="BB102" s="6403"/>
      <c r="BC102" s="6404"/>
      <c r="BD102" s="6405"/>
      <c r="BE102" s="6406"/>
      <c r="BF102" s="6407"/>
      <c r="BG102" s="6408"/>
      <c r="BH102" s="6409"/>
      <c r="BI102" s="6410"/>
      <c r="BJ102" s="6411"/>
      <c r="BK102" s="6412"/>
      <c r="BL102" s="6413"/>
      <c r="BM102" s="6414"/>
      <c r="BN102" s="6415"/>
      <c r="BO102" s="6416"/>
      <c r="BP102" s="6417"/>
      <c r="BQ102" s="6418"/>
      <c r="BR102" s="6419"/>
      <c r="BS102" s="6420"/>
      <c r="BT102" s="6421"/>
      <c r="BU102" s="6422"/>
      <c r="BV102" s="6423"/>
      <c r="BW102" s="6424"/>
      <c r="BX102" s="6425"/>
      <c r="BY102" s="6426"/>
      <c r="BZ102" s="6427"/>
      <c r="CA102" s="6428"/>
      <c r="CB102" s="6429"/>
      <c r="CC102" s="6430"/>
      <c r="CD102" s="6431"/>
      <c r="CE102" s="6432"/>
      <c r="CF102" s="6433"/>
      <c r="CG102" s="6434"/>
      <c r="CH102" s="6435"/>
      <c r="CI102" s="6436"/>
      <c r="CJ102" s="6437"/>
      <c r="CK102" s="2211"/>
      <c r="CL102" s="2345"/>
      <c r="CM102" s="2345" t="str">
        <f t="shared" si="5"/>
        <v>Добавить группу потребителей</v>
      </c>
      <c r="CN102" s="2345"/>
      <c r="CO102" s="2345"/>
    </row>
    <row r="103" spans="1:93" s="6438" customFormat="1" ht="14.25" customHeight="1">
      <c r="A103" s="1871"/>
      <c r="B103" s="1871"/>
      <c r="C103" s="1871"/>
      <c r="D103" s="1871"/>
      <c r="E103" s="6794"/>
      <c r="F103" s="6794" t="s">
        <v>89</v>
      </c>
      <c r="G103" s="6794"/>
      <c r="H103" s="6793"/>
      <c r="I103" s="1871"/>
      <c r="J103" s="1871"/>
      <c r="K103" s="1871"/>
      <c r="L103" s="1871"/>
      <c r="M103" s="5886"/>
      <c r="N103" s="5887"/>
      <c r="O103" s="5887"/>
      <c r="P103" s="2077"/>
      <c r="Q103" s="2487"/>
      <c r="R103" s="2488"/>
      <c r="S103" s="2489"/>
      <c r="T103" s="2487"/>
      <c r="U103" s="5385"/>
      <c r="V103" s="5386"/>
      <c r="W103" s="5168"/>
      <c r="X103" s="5168"/>
      <c r="Y103" s="5168"/>
      <c r="Z103" s="5168"/>
      <c r="AA103" s="5168"/>
      <c r="AB103" s="5168"/>
      <c r="AC103" s="5168"/>
      <c r="AD103" s="5168"/>
      <c r="AE103" s="5168"/>
      <c r="AF103" s="5168"/>
      <c r="AG103" s="5168"/>
      <c r="AH103" s="5168"/>
      <c r="AI103" s="5168"/>
      <c r="AJ103" s="5168"/>
      <c r="AK103" s="5168"/>
      <c r="AL103" s="5168"/>
      <c r="AM103" s="5168"/>
      <c r="AN103" s="5168"/>
      <c r="AO103" s="5168"/>
      <c r="AP103" s="5168"/>
      <c r="AQ103" s="5168"/>
      <c r="AR103" s="5168"/>
      <c r="AS103" s="5168"/>
      <c r="AT103" s="5168"/>
      <c r="AU103" s="5168"/>
      <c r="AV103" s="5168"/>
      <c r="AW103" s="5168"/>
      <c r="AX103" s="5168"/>
      <c r="AY103" s="5168"/>
      <c r="AZ103" s="5168"/>
      <c r="BA103" s="5168"/>
      <c r="BB103" s="5168"/>
      <c r="BC103" s="5168"/>
      <c r="BD103" s="5168"/>
      <c r="BE103" s="5168"/>
      <c r="BF103" s="5168"/>
      <c r="BG103" s="5168"/>
      <c r="BH103" s="5168"/>
      <c r="BI103" s="5168"/>
      <c r="BJ103" s="5168"/>
      <c r="BK103" s="5168"/>
      <c r="BL103" s="5168"/>
      <c r="BM103" s="5168"/>
      <c r="BN103" s="5168"/>
      <c r="BO103" s="5168"/>
      <c r="BP103" s="5168"/>
      <c r="BQ103" s="5168"/>
      <c r="BR103" s="5168"/>
      <c r="BS103" s="5168"/>
      <c r="BT103" s="5168"/>
      <c r="BU103" s="5168"/>
      <c r="BV103" s="5168"/>
      <c r="BW103" s="5168"/>
      <c r="BX103" s="5168"/>
      <c r="BY103" s="5168"/>
      <c r="BZ103" s="5168"/>
      <c r="CA103" s="5168"/>
      <c r="CB103" s="5168"/>
      <c r="CC103" s="5168"/>
      <c r="CD103" s="5168"/>
      <c r="CE103" s="5168"/>
      <c r="CF103" s="5168"/>
      <c r="CG103" s="5168"/>
      <c r="CH103" s="5168"/>
      <c r="CI103" s="5168"/>
      <c r="CJ103" s="5387"/>
      <c r="CK103" s="2211"/>
      <c r="CL103" s="2345"/>
      <c r="CM103" s="2345" t="str">
        <f t="shared" si="5"/>
        <v/>
      </c>
      <c r="CN103" s="2345"/>
      <c r="CO103" s="2345"/>
    </row>
    <row r="104" spans="1:93" s="6439" customFormat="1" ht="14.25" customHeight="1">
      <c r="A104" s="6079"/>
      <c r="B104" s="6079"/>
      <c r="C104" s="6079"/>
      <c r="D104" s="6079"/>
      <c r="E104" s="6794"/>
      <c r="F104" s="6794" t="s">
        <v>89</v>
      </c>
      <c r="G104" s="6793"/>
      <c r="H104" s="6079"/>
      <c r="I104" s="6079"/>
      <c r="J104" s="6079"/>
      <c r="K104" s="6079"/>
      <c r="L104" s="6079"/>
      <c r="M104" s="6080"/>
      <c r="N104" s="6081"/>
      <c r="O104" s="6081"/>
      <c r="P104" s="6082"/>
      <c r="Q104" s="2555"/>
      <c r="R104" s="2556"/>
      <c r="S104" s="2555"/>
      <c r="T104" s="2555"/>
      <c r="U104" s="2557"/>
      <c r="V104" s="2558" t="s">
        <v>228</v>
      </c>
      <c r="W104" s="2203"/>
      <c r="X104" s="2203"/>
      <c r="Y104" s="2203"/>
      <c r="Z104" s="2203"/>
      <c r="AA104" s="2203"/>
      <c r="AB104" s="2203"/>
      <c r="AC104" s="2203"/>
      <c r="AD104" s="2203"/>
      <c r="AE104" s="2203"/>
      <c r="AF104" s="2203"/>
      <c r="AG104" s="2203"/>
      <c r="AH104" s="2203"/>
      <c r="AI104" s="2203"/>
      <c r="AJ104" s="2203"/>
      <c r="AK104" s="2203"/>
      <c r="AL104" s="2203"/>
      <c r="AM104" s="2203"/>
      <c r="AN104" s="2203"/>
      <c r="AO104" s="2203"/>
      <c r="AP104" s="2203"/>
      <c r="AQ104" s="2203"/>
      <c r="AR104" s="2203"/>
      <c r="AS104" s="2203"/>
      <c r="AT104" s="2203"/>
      <c r="AU104" s="2203"/>
      <c r="AV104" s="2203"/>
      <c r="AW104" s="2203"/>
      <c r="AX104" s="2203"/>
      <c r="AY104" s="2203"/>
      <c r="AZ104" s="2203"/>
      <c r="BA104" s="2203"/>
      <c r="BB104" s="2203"/>
      <c r="BC104" s="2203"/>
      <c r="BD104" s="2203"/>
      <c r="BE104" s="2203"/>
      <c r="BF104" s="2203"/>
      <c r="BG104" s="2203"/>
      <c r="BH104" s="2203"/>
      <c r="BI104" s="2203"/>
      <c r="BJ104" s="2203"/>
      <c r="BK104" s="2203"/>
      <c r="BL104" s="2203"/>
      <c r="BM104" s="2203"/>
      <c r="BN104" s="2203"/>
      <c r="BO104" s="2203"/>
      <c r="BP104" s="2203"/>
      <c r="BQ104" s="2203"/>
      <c r="BR104" s="2203"/>
      <c r="BS104" s="2203"/>
      <c r="BT104" s="2203"/>
      <c r="BU104" s="2203"/>
      <c r="BV104" s="2203"/>
      <c r="BW104" s="2203"/>
      <c r="BX104" s="2203"/>
      <c r="BY104" s="2203"/>
      <c r="BZ104" s="2203"/>
      <c r="CA104" s="2203"/>
      <c r="CB104" s="2203"/>
      <c r="CC104" s="2203"/>
      <c r="CD104" s="2203"/>
      <c r="CE104" s="2203"/>
      <c r="CF104" s="2203"/>
      <c r="CG104" s="2203"/>
      <c r="CH104" s="2203"/>
      <c r="CI104" s="2203"/>
      <c r="CJ104" s="2203"/>
      <c r="CK104" s="2211"/>
      <c r="CL104" s="2345"/>
      <c r="CM104" s="2345" t="str">
        <f t="shared" si="5"/>
        <v>Добавить источник для дифференциации</v>
      </c>
      <c r="CN104" s="2345"/>
      <c r="CO104" s="2345"/>
    </row>
    <row r="105" spans="1:93" s="6440" customFormat="1" ht="14.25" customHeight="1">
      <c r="A105" s="6079"/>
      <c r="B105" s="6079"/>
      <c r="C105" s="6079"/>
      <c r="D105" s="6079"/>
      <c r="E105" s="6794"/>
      <c r="F105" s="6793" t="s">
        <v>89</v>
      </c>
      <c r="G105" s="6079"/>
      <c r="H105" s="6079"/>
      <c r="I105" s="6079"/>
      <c r="J105" s="6079"/>
      <c r="K105" s="6079"/>
      <c r="L105" s="6079"/>
      <c r="M105" s="6080"/>
      <c r="N105" s="6084"/>
      <c r="O105" s="6084"/>
      <c r="P105" s="6082"/>
      <c r="Q105" s="2555"/>
      <c r="R105" s="2556"/>
      <c r="S105" s="2555"/>
      <c r="T105" s="2555"/>
      <c r="U105" s="2561"/>
      <c r="V105" s="2562" t="s">
        <v>229</v>
      </c>
      <c r="W105" s="2204"/>
      <c r="X105" s="2204"/>
      <c r="Y105" s="2204"/>
      <c r="Z105" s="2204"/>
      <c r="AA105" s="2204"/>
      <c r="AB105" s="2204"/>
      <c r="AC105" s="2204"/>
      <c r="AD105" s="2204"/>
      <c r="AE105" s="2204"/>
      <c r="AF105" s="2204"/>
      <c r="AG105" s="2204"/>
      <c r="AH105" s="2204"/>
      <c r="AI105" s="2204"/>
      <c r="AJ105" s="2204"/>
      <c r="AK105" s="2204"/>
      <c r="AL105" s="2204"/>
      <c r="AM105" s="2204"/>
      <c r="AN105" s="2204"/>
      <c r="AO105" s="2204"/>
      <c r="AP105" s="2204"/>
      <c r="AQ105" s="2204"/>
      <c r="AR105" s="2204"/>
      <c r="AS105" s="2204"/>
      <c r="AT105" s="2204"/>
      <c r="AU105" s="2204"/>
      <c r="AV105" s="2204"/>
      <c r="AW105" s="2204"/>
      <c r="AX105" s="2204"/>
      <c r="AY105" s="2204"/>
      <c r="AZ105" s="2204"/>
      <c r="BA105" s="2204"/>
      <c r="BB105" s="2204"/>
      <c r="BC105" s="2204"/>
      <c r="BD105" s="2204"/>
      <c r="BE105" s="2204"/>
      <c r="BF105" s="2204"/>
      <c r="BG105" s="2204"/>
      <c r="BH105" s="2204"/>
      <c r="BI105" s="2204"/>
      <c r="BJ105" s="2204"/>
      <c r="BK105" s="2204"/>
      <c r="BL105" s="2204"/>
      <c r="BM105" s="2204"/>
      <c r="BN105" s="2204"/>
      <c r="BO105" s="2204"/>
      <c r="BP105" s="2204"/>
      <c r="BQ105" s="2204"/>
      <c r="BR105" s="2204"/>
      <c r="BS105" s="2204"/>
      <c r="BT105" s="2204"/>
      <c r="BU105" s="2204"/>
      <c r="BV105" s="2204"/>
      <c r="BW105" s="2204"/>
      <c r="BX105" s="2204"/>
      <c r="BY105" s="2204"/>
      <c r="BZ105" s="2204"/>
      <c r="CA105" s="2204"/>
      <c r="CB105" s="2204"/>
      <c r="CC105" s="2204"/>
      <c r="CD105" s="2204"/>
      <c r="CE105" s="2204"/>
      <c r="CF105" s="2204"/>
      <c r="CG105" s="2204"/>
      <c r="CH105" s="2204"/>
      <c r="CI105" s="2204"/>
      <c r="CJ105" s="2204"/>
      <c r="CK105" s="2211"/>
      <c r="CL105" s="2345"/>
      <c r="CM105" s="2345" t="str">
        <f t="shared" si="5"/>
        <v>Добавить централизованную систему для дифференциации</v>
      </c>
      <c r="CN105" s="2345"/>
      <c r="CO105" s="2345"/>
    </row>
    <row r="106" spans="1:93" s="1817" customFormat="1" ht="0" hidden="1" customHeight="1">
      <c r="A106" s="1291" t="s">
        <v>295</v>
      </c>
      <c r="B106" s="1291"/>
      <c r="C106" s="1291"/>
      <c r="D106" s="1291"/>
      <c r="E106" s="6793"/>
      <c r="F106" s="1291"/>
      <c r="G106" s="1291"/>
      <c r="H106" s="1291"/>
      <c r="I106" s="1291"/>
      <c r="J106" s="1291"/>
      <c r="K106" s="1291"/>
      <c r="L106" s="1291"/>
      <c r="M106" s="1297"/>
      <c r="N106" s="1295"/>
      <c r="O106" s="1295"/>
      <c r="P106" s="276"/>
      <c r="Q106" s="313"/>
      <c r="R106" s="1261"/>
      <c r="S106" s="313"/>
      <c r="T106" s="313"/>
      <c r="U106" s="1240"/>
      <c r="V106" s="1243" t="s">
        <v>272</v>
      </c>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2204"/>
      <c r="AQ106" s="2204"/>
      <c r="AR106" s="2204"/>
      <c r="AS106" s="2204"/>
      <c r="AT106" s="2204"/>
      <c r="AU106" s="2204"/>
      <c r="AV106" s="2204"/>
      <c r="AW106" s="2204"/>
      <c r="AX106" s="2204"/>
      <c r="AY106" s="2204"/>
      <c r="AZ106" s="2204"/>
      <c r="BA106" s="2204"/>
      <c r="BB106" s="2204"/>
      <c r="BC106" s="2204"/>
      <c r="BD106" s="2204"/>
      <c r="BE106" s="2204"/>
      <c r="BF106" s="2204"/>
      <c r="BG106" s="2204"/>
      <c r="BH106" s="2204"/>
      <c r="BI106" s="2204"/>
      <c r="BJ106" s="2204"/>
      <c r="BK106" s="2204"/>
      <c r="BL106" s="2204"/>
      <c r="BM106" s="2204"/>
      <c r="BN106" s="2204"/>
      <c r="BO106" s="2204"/>
      <c r="BP106" s="2204"/>
      <c r="BQ106" s="2204"/>
      <c r="BR106" s="2204"/>
      <c r="BS106" s="2204"/>
      <c r="BT106" s="2204"/>
      <c r="BU106" s="2204"/>
      <c r="BV106" s="2204"/>
      <c r="BW106" s="2204"/>
      <c r="BX106" s="2204"/>
      <c r="BY106" s="2204"/>
      <c r="BZ106" s="2204"/>
      <c r="CA106" s="2204"/>
      <c r="CB106" s="2204"/>
      <c r="CC106" s="2204"/>
      <c r="CD106" s="2204"/>
      <c r="CE106" s="2204"/>
      <c r="CF106" s="2204"/>
      <c r="CG106" s="2204"/>
      <c r="CH106" s="2204"/>
      <c r="CI106" s="1242"/>
      <c r="CJ106" s="1242"/>
      <c r="CL106" s="426"/>
      <c r="CM106" s="426" t="str">
        <f t="shared" si="5"/>
        <v>Добавить территорию для дифференциации</v>
      </c>
      <c r="CN106" s="426"/>
      <c r="CO106" s="426"/>
    </row>
    <row r="107" spans="1:93" s="2067" customFormat="1" ht="5.25" customHeight="1">
      <c r="A107" s="1290"/>
      <c r="B107" s="1290"/>
      <c r="C107" s="1290"/>
      <c r="D107" s="1290"/>
      <c r="E107" s="1291"/>
      <c r="F107" s="1290"/>
      <c r="G107" s="1290"/>
      <c r="H107" s="1290"/>
      <c r="I107" s="1290"/>
      <c r="J107" s="1290"/>
      <c r="K107" s="1290"/>
      <c r="L107" s="1290"/>
      <c r="M107" s="1293"/>
      <c r="N107" s="1295"/>
      <c r="O107" s="1295"/>
      <c r="P107" s="276"/>
      <c r="Q107" s="1234"/>
      <c r="R107" s="1235"/>
      <c r="S107" s="1234"/>
      <c r="T107" s="1234"/>
      <c r="U107" s="1240"/>
      <c r="V107" s="1243" t="s">
        <v>273</v>
      </c>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2204"/>
      <c r="AQ107" s="2204"/>
      <c r="AR107" s="2204"/>
      <c r="AS107" s="2204"/>
      <c r="AT107" s="2204"/>
      <c r="AU107" s="2204"/>
      <c r="AV107" s="2204"/>
      <c r="AW107" s="2204"/>
      <c r="AX107" s="2204"/>
      <c r="AY107" s="2204"/>
      <c r="AZ107" s="2204"/>
      <c r="BA107" s="2204"/>
      <c r="BB107" s="2204"/>
      <c r="BC107" s="2204"/>
      <c r="BD107" s="2204"/>
      <c r="BE107" s="2204"/>
      <c r="BF107" s="2204"/>
      <c r="BG107" s="2204"/>
      <c r="BH107" s="2204"/>
      <c r="BI107" s="2204"/>
      <c r="BJ107" s="2204"/>
      <c r="BK107" s="2204"/>
      <c r="BL107" s="2204"/>
      <c r="BM107" s="2204"/>
      <c r="BN107" s="2204"/>
      <c r="BO107" s="2204"/>
      <c r="BP107" s="2204"/>
      <c r="BQ107" s="2204"/>
      <c r="BR107" s="2204"/>
      <c r="BS107" s="2204"/>
      <c r="BT107" s="2204"/>
      <c r="BU107" s="2204"/>
      <c r="BV107" s="2204"/>
      <c r="BW107" s="2204"/>
      <c r="BX107" s="2204"/>
      <c r="BY107" s="2204"/>
      <c r="BZ107" s="2204"/>
      <c r="CA107" s="2204"/>
      <c r="CB107" s="2204"/>
      <c r="CC107" s="2204"/>
      <c r="CD107" s="2204"/>
      <c r="CE107" s="2204"/>
      <c r="CF107" s="2204"/>
      <c r="CG107" s="2204"/>
      <c r="CH107" s="2204"/>
      <c r="CI107" s="1242"/>
      <c r="CJ107" s="1242"/>
      <c r="CL107" s="706"/>
      <c r="CM107" s="706" t="str">
        <f t="shared" si="5"/>
        <v>Добавить наименование тарифа</v>
      </c>
      <c r="CN107" s="706"/>
      <c r="CO107" s="706"/>
    </row>
    <row r="108" spans="1:93" ht="11.25" customHeight="1">
      <c r="N108" s="1055"/>
      <c r="O108" s="1055"/>
      <c r="P108" s="435"/>
      <c r="Q108" s="1055"/>
      <c r="R108" s="1055"/>
      <c r="S108" s="1055"/>
      <c r="T108" s="1055"/>
      <c r="U108" s="1055"/>
      <c r="AP108" s="2077"/>
      <c r="AQ108" s="2077"/>
      <c r="AR108" s="2077"/>
      <c r="AS108" s="2077"/>
      <c r="AT108" s="2077"/>
      <c r="AU108" s="2077"/>
      <c r="AV108" s="2077"/>
      <c r="AW108" s="2077"/>
      <c r="AX108" s="2077"/>
      <c r="AY108" s="2077"/>
      <c r="AZ108" s="2077"/>
      <c r="BA108" s="2077"/>
      <c r="BB108" s="2077"/>
      <c r="BC108" s="2077"/>
      <c r="BD108" s="2077"/>
      <c r="BE108" s="2077"/>
      <c r="BF108" s="2077"/>
      <c r="BG108" s="2077"/>
      <c r="BH108" s="2077"/>
      <c r="BI108" s="2077"/>
      <c r="BJ108" s="2077"/>
      <c r="BK108" s="2077"/>
      <c r="BL108" s="2077"/>
      <c r="BM108" s="2077"/>
      <c r="BN108" s="2077"/>
      <c r="BO108" s="2077"/>
      <c r="BP108" s="2077"/>
      <c r="BQ108" s="2077"/>
      <c r="BR108" s="2077"/>
      <c r="BS108" s="2077"/>
      <c r="BT108" s="2077"/>
      <c r="BU108" s="2077"/>
      <c r="BV108" s="2077"/>
      <c r="BW108" s="2077"/>
      <c r="BX108" s="2077"/>
      <c r="BY108" s="2077"/>
      <c r="BZ108" s="2077"/>
      <c r="CA108" s="2077"/>
      <c r="CB108" s="2077"/>
      <c r="CC108" s="2077"/>
      <c r="CD108" s="2077"/>
      <c r="CE108" s="2077"/>
      <c r="CF108" s="2077"/>
      <c r="CG108" s="2077"/>
      <c r="CH108" s="2077"/>
      <c r="CK108" s="1055"/>
      <c r="CL108" s="1055"/>
      <c r="CM108" s="1055"/>
      <c r="CN108" s="1055"/>
      <c r="CO108" s="1055"/>
    </row>
    <row r="109" spans="1:93" ht="33.75" customHeight="1">
      <c r="P109" s="435"/>
      <c r="U109" s="1164"/>
      <c r="V109" s="6783"/>
      <c r="W109" s="6783"/>
      <c r="X109" s="6783"/>
      <c r="Y109" s="6783"/>
      <c r="Z109" s="6783"/>
      <c r="AA109" s="6783"/>
      <c r="AB109" s="6783"/>
      <c r="AC109" s="6783"/>
      <c r="AD109" s="6783"/>
      <c r="AE109" s="6783"/>
      <c r="AF109" s="6783"/>
      <c r="AG109" s="6783"/>
      <c r="AH109" s="6783"/>
      <c r="AI109" s="6783"/>
      <c r="AJ109" s="6783"/>
      <c r="AK109" s="6783"/>
      <c r="AL109" s="6783"/>
      <c r="AM109" s="6783"/>
      <c r="AN109" s="6783"/>
      <c r="AO109" s="6783"/>
      <c r="AP109" s="6783"/>
      <c r="AQ109" s="6783"/>
      <c r="AR109" s="6783"/>
      <c r="AS109" s="6783"/>
      <c r="AT109" s="6783"/>
      <c r="AU109" s="6783"/>
      <c r="AV109" s="6783"/>
      <c r="AW109" s="6783"/>
      <c r="AX109" s="6783"/>
      <c r="AY109" s="6783"/>
      <c r="AZ109" s="6783"/>
      <c r="BA109" s="6783"/>
      <c r="BB109" s="6783"/>
      <c r="BC109" s="6783"/>
      <c r="BD109" s="6783"/>
      <c r="BE109" s="6783"/>
      <c r="BF109" s="6783"/>
      <c r="BG109" s="6783"/>
      <c r="BH109" s="6783"/>
      <c r="BI109" s="6783"/>
      <c r="BJ109" s="6783"/>
      <c r="BK109" s="6783"/>
      <c r="BL109" s="6783"/>
      <c r="BM109" s="6783"/>
      <c r="BN109" s="6783"/>
      <c r="BO109" s="6783"/>
      <c r="BP109" s="6783"/>
      <c r="BQ109" s="6783"/>
      <c r="BR109" s="6783"/>
      <c r="BS109" s="6783"/>
      <c r="BT109" s="6783"/>
      <c r="BU109" s="6783"/>
      <c r="BV109" s="6783"/>
      <c r="BW109" s="6783"/>
      <c r="BX109" s="6783"/>
      <c r="BY109" s="6783"/>
      <c r="BZ109" s="6783"/>
      <c r="CA109" s="6783"/>
      <c r="CB109" s="6783"/>
      <c r="CC109" s="6783"/>
      <c r="CD109" s="6783"/>
      <c r="CE109" s="6783"/>
      <c r="CF109" s="6783"/>
      <c r="CG109" s="6783"/>
      <c r="CH109" s="6783"/>
      <c r="CI109" s="6783"/>
      <c r="CJ109" s="6783"/>
    </row>
    <row r="110" spans="1:93" ht="19.5" customHeight="1">
      <c r="P110" s="435"/>
      <c r="V110" s="6783"/>
      <c r="W110" s="6783"/>
      <c r="X110" s="6783"/>
      <c r="Y110" s="6783"/>
      <c r="Z110" s="6783"/>
      <c r="AA110" s="6783"/>
      <c r="AB110" s="6783"/>
      <c r="AC110" s="6783"/>
      <c r="AD110" s="6783"/>
      <c r="AE110" s="6783"/>
      <c r="AF110" s="6783"/>
      <c r="AG110" s="6783"/>
      <c r="AH110" s="6783"/>
      <c r="AI110" s="6783"/>
      <c r="AJ110" s="6783"/>
      <c r="AK110" s="6783"/>
      <c r="AL110" s="6783"/>
      <c r="AM110" s="6783"/>
      <c r="AN110" s="6783"/>
      <c r="AO110" s="6783"/>
      <c r="AP110" s="6783"/>
      <c r="AQ110" s="6783"/>
      <c r="AR110" s="6783"/>
      <c r="AS110" s="6783"/>
      <c r="AT110" s="6783"/>
      <c r="AU110" s="6783"/>
      <c r="AV110" s="6783"/>
      <c r="AW110" s="6783"/>
      <c r="AX110" s="6783"/>
      <c r="AY110" s="6783"/>
      <c r="AZ110" s="6783"/>
      <c r="BA110" s="6783"/>
      <c r="BB110" s="6783"/>
      <c r="BC110" s="6783"/>
      <c r="BD110" s="6783"/>
      <c r="BE110" s="6783"/>
      <c r="BF110" s="6783"/>
      <c r="BG110" s="6783"/>
      <c r="BH110" s="6783"/>
      <c r="BI110" s="6783"/>
      <c r="BJ110" s="6783"/>
      <c r="BK110" s="6783"/>
      <c r="BL110" s="6783"/>
      <c r="BM110" s="6783"/>
      <c r="BN110" s="6783"/>
      <c r="BO110" s="6783"/>
      <c r="BP110" s="6783"/>
      <c r="BQ110" s="6783"/>
      <c r="BR110" s="6783"/>
      <c r="BS110" s="6783"/>
      <c r="BT110" s="6783"/>
      <c r="BU110" s="6783"/>
      <c r="BV110" s="6783"/>
      <c r="BW110" s="6783"/>
      <c r="BX110" s="6783"/>
      <c r="BY110" s="6783"/>
      <c r="BZ110" s="6783"/>
      <c r="CA110" s="6783"/>
      <c r="CB110" s="6783"/>
      <c r="CC110" s="6783"/>
      <c r="CD110" s="6783"/>
      <c r="CE110" s="6783"/>
      <c r="CF110" s="6783"/>
      <c r="CG110" s="6783"/>
      <c r="CH110" s="6783"/>
      <c r="CI110" s="6783"/>
      <c r="CJ110" s="6783"/>
    </row>
    <row r="111" spans="1:93" ht="14.25" customHeight="1">
      <c r="P111" s="435"/>
      <c r="AP111" s="2077"/>
      <c r="AQ111" s="2077"/>
      <c r="AR111" s="2077"/>
      <c r="AS111" s="2077"/>
      <c r="AT111" s="2077"/>
      <c r="AU111" s="2077"/>
      <c r="AV111" s="2077"/>
      <c r="AW111" s="2077"/>
      <c r="AX111" s="2077"/>
      <c r="AY111" s="2077"/>
      <c r="AZ111" s="2077"/>
      <c r="BA111" s="2077"/>
      <c r="BB111" s="2077"/>
      <c r="BC111" s="2077"/>
      <c r="BD111" s="2077"/>
      <c r="BE111" s="2077"/>
      <c r="BF111" s="2077"/>
      <c r="BG111" s="2077"/>
      <c r="BH111" s="2077"/>
      <c r="BI111" s="2077"/>
      <c r="BJ111" s="2077"/>
      <c r="BK111" s="2077"/>
      <c r="BL111" s="2077"/>
      <c r="BM111" s="2077"/>
      <c r="BN111" s="2077"/>
      <c r="BO111" s="2077"/>
      <c r="BP111" s="2077"/>
      <c r="BQ111" s="2077"/>
      <c r="BR111" s="2077"/>
      <c r="BS111" s="2077"/>
      <c r="BT111" s="2077"/>
      <c r="BU111" s="2077"/>
      <c r="BV111" s="2077"/>
      <c r="BW111" s="2077"/>
      <c r="BX111" s="2077"/>
      <c r="BY111" s="2077"/>
      <c r="BZ111" s="2077"/>
      <c r="CA111" s="2077"/>
      <c r="CB111" s="2077"/>
      <c r="CC111" s="2077"/>
      <c r="CD111" s="2077"/>
      <c r="CE111" s="2077"/>
      <c r="CF111" s="2077"/>
      <c r="CG111" s="2077"/>
      <c r="CH111" s="2077"/>
    </row>
    <row r="112" spans="1:93" ht="27" customHeight="1">
      <c r="P112" s="435"/>
      <c r="V112" s="6783"/>
      <c r="W112" s="6783"/>
      <c r="X112" s="6783"/>
      <c r="Y112" s="6783"/>
      <c r="Z112" s="6783"/>
      <c r="AA112" s="6783"/>
      <c r="AB112" s="6783"/>
      <c r="AC112" s="6783"/>
      <c r="AD112" s="6783"/>
      <c r="AE112" s="6783"/>
      <c r="AF112" s="6783"/>
      <c r="AG112" s="6783"/>
      <c r="AH112" s="6783"/>
      <c r="AI112" s="6783"/>
      <c r="AJ112" s="6783"/>
      <c r="AK112" s="6783"/>
      <c r="AL112" s="6783"/>
      <c r="AM112" s="6783"/>
      <c r="AN112" s="6783"/>
      <c r="AO112" s="6783"/>
      <c r="AP112" s="6783"/>
      <c r="AQ112" s="6783"/>
      <c r="AR112" s="6783"/>
      <c r="AS112" s="6783"/>
      <c r="AT112" s="6783"/>
      <c r="AU112" s="6783"/>
      <c r="AV112" s="6783"/>
      <c r="AW112" s="6783"/>
      <c r="AX112" s="6783"/>
      <c r="AY112" s="6783"/>
      <c r="AZ112" s="6783"/>
      <c r="BA112" s="6783"/>
      <c r="BB112" s="6783"/>
      <c r="BC112" s="6783"/>
      <c r="BD112" s="6783"/>
      <c r="BE112" s="6783"/>
      <c r="BF112" s="6783"/>
      <c r="BG112" s="6783"/>
      <c r="BH112" s="6783"/>
      <c r="BI112" s="6783"/>
      <c r="BJ112" s="6783"/>
      <c r="BK112" s="6783"/>
      <c r="BL112" s="6783"/>
      <c r="BM112" s="6783"/>
      <c r="BN112" s="6783"/>
      <c r="BO112" s="6783"/>
      <c r="BP112" s="6783"/>
      <c r="BQ112" s="6783"/>
      <c r="BR112" s="6783"/>
      <c r="BS112" s="6783"/>
      <c r="BT112" s="6783"/>
      <c r="BU112" s="6783"/>
      <c r="BV112" s="6783"/>
      <c r="BW112" s="6783"/>
      <c r="BX112" s="6783"/>
      <c r="BY112" s="6783"/>
      <c r="BZ112" s="6783"/>
      <c r="CA112" s="6783"/>
      <c r="CB112" s="6783"/>
      <c r="CC112" s="6783"/>
      <c r="CD112" s="6783"/>
      <c r="CE112" s="6783"/>
      <c r="CF112" s="6783"/>
      <c r="CG112" s="6783"/>
      <c r="CH112" s="6783"/>
      <c r="CI112" s="6783"/>
      <c r="CJ112" s="6783"/>
    </row>
    <row r="113" spans="16:88" ht="18" customHeight="1">
      <c r="P113" s="435"/>
      <c r="V113" s="6783"/>
      <c r="W113" s="6783"/>
      <c r="X113" s="6783"/>
      <c r="Y113" s="6783"/>
      <c r="Z113" s="6783"/>
      <c r="AA113" s="6783"/>
      <c r="AB113" s="6783"/>
      <c r="AC113" s="6783"/>
      <c r="AD113" s="6783"/>
      <c r="AE113" s="6783"/>
      <c r="AF113" s="6783"/>
      <c r="AG113" s="6783"/>
      <c r="AH113" s="6783"/>
      <c r="AI113" s="6783"/>
      <c r="AJ113" s="6783"/>
      <c r="AK113" s="6783"/>
      <c r="AL113" s="6783"/>
      <c r="AM113" s="6783"/>
      <c r="AN113" s="6783"/>
      <c r="AO113" s="6783"/>
      <c r="AP113" s="6783"/>
      <c r="AQ113" s="6783"/>
      <c r="AR113" s="6783"/>
      <c r="AS113" s="6783"/>
      <c r="AT113" s="6783"/>
      <c r="AU113" s="6783"/>
      <c r="AV113" s="6783"/>
      <c r="AW113" s="6783"/>
      <c r="AX113" s="6783"/>
      <c r="AY113" s="6783"/>
      <c r="AZ113" s="6783"/>
      <c r="BA113" s="6783"/>
      <c r="BB113" s="6783"/>
      <c r="BC113" s="6783"/>
      <c r="BD113" s="6783"/>
      <c r="BE113" s="6783"/>
      <c r="BF113" s="6783"/>
      <c r="BG113" s="6783"/>
      <c r="BH113" s="6783"/>
      <c r="BI113" s="6783"/>
      <c r="BJ113" s="6783"/>
      <c r="BK113" s="6783"/>
      <c r="BL113" s="6783"/>
      <c r="BM113" s="6783"/>
      <c r="BN113" s="6783"/>
      <c r="BO113" s="6783"/>
      <c r="BP113" s="6783"/>
      <c r="BQ113" s="6783"/>
      <c r="BR113" s="6783"/>
      <c r="BS113" s="6783"/>
      <c r="BT113" s="6783"/>
      <c r="BU113" s="6783"/>
      <c r="BV113" s="6783"/>
      <c r="BW113" s="6783"/>
      <c r="BX113" s="6783"/>
      <c r="BY113" s="6783"/>
      <c r="BZ113" s="6783"/>
      <c r="CA113" s="6783"/>
      <c r="CB113" s="6783"/>
      <c r="CC113" s="6783"/>
      <c r="CD113" s="6783"/>
      <c r="CE113" s="6783"/>
      <c r="CF113" s="6783"/>
      <c r="CG113" s="6783"/>
      <c r="CH113" s="6783"/>
      <c r="CI113" s="6783"/>
      <c r="CJ113" s="6783"/>
    </row>
  </sheetData>
  <sheetProtection formatColumns="0" formatRows="0" insertRows="0" deleteColumns="0" deleteRows="0" sort="0" autoFilter="0"/>
  <mergeCells count="404">
    <mergeCell ref="AD97:AD100"/>
    <mergeCell ref="AE55:AE58"/>
    <mergeCell ref="AF55:AF58"/>
    <mergeCell ref="AC55:AC58"/>
    <mergeCell ref="AD55:AD58"/>
    <mergeCell ref="CG83:CG86"/>
    <mergeCell ref="CH83:CH86"/>
    <mergeCell ref="CE83:CE86"/>
    <mergeCell ref="CF83:CF86"/>
    <mergeCell ref="AE83:AE86"/>
    <mergeCell ref="AF83:AF86"/>
    <mergeCell ref="AC83:AC86"/>
    <mergeCell ref="AD83:AD86"/>
    <mergeCell ref="CF48:CG48"/>
    <mergeCell ref="CE69:CE72"/>
    <mergeCell ref="CF69:CF72"/>
    <mergeCell ref="CG69:CG72"/>
    <mergeCell ref="CH69:CH72"/>
    <mergeCell ref="CG55:CG58"/>
    <mergeCell ref="CH55:CH58"/>
    <mergeCell ref="CE55:CE58"/>
    <mergeCell ref="CF55:CF58"/>
    <mergeCell ref="BZ39:CG39"/>
    <mergeCell ref="BZ41:CH41"/>
    <mergeCell ref="BZ43:CG43"/>
    <mergeCell ref="CH43:CH47"/>
    <mergeCell ref="BZ44:BZ47"/>
    <mergeCell ref="CA44:CD44"/>
    <mergeCell ref="CE44:CG45"/>
    <mergeCell ref="CA45:CA47"/>
    <mergeCell ref="CB45:CD45"/>
    <mergeCell ref="CB46:CB47"/>
    <mergeCell ref="CC46:CD46"/>
    <mergeCell ref="CE46:CE47"/>
    <mergeCell ref="CF46:CG47"/>
    <mergeCell ref="CE8:CE11"/>
    <mergeCell ref="CF8:CF11"/>
    <mergeCell ref="CG8:CG11"/>
    <mergeCell ref="CH8:CH11"/>
    <mergeCell ref="BZ33:CG33"/>
    <mergeCell ref="BZ34:CG34"/>
    <mergeCell ref="BZ35:CG35"/>
    <mergeCell ref="BZ36:CG36"/>
    <mergeCell ref="BZ38:CG38"/>
    <mergeCell ref="BW48:BX48"/>
    <mergeCell ref="BV55:BV58"/>
    <mergeCell ref="BW55:BW58"/>
    <mergeCell ref="BX55:BX58"/>
    <mergeCell ref="BY55:BY58"/>
    <mergeCell ref="BV69:BV72"/>
    <mergeCell ref="BW69:BW72"/>
    <mergeCell ref="BX69:BX72"/>
    <mergeCell ref="BY69:BY72"/>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N48:BO48"/>
    <mergeCell ref="BM55:BM58"/>
    <mergeCell ref="BN55:BN58"/>
    <mergeCell ref="BO55:BO58"/>
    <mergeCell ref="BP55:BP58"/>
    <mergeCell ref="BM69:BM72"/>
    <mergeCell ref="BN69:BN72"/>
    <mergeCell ref="BO69:BO72"/>
    <mergeCell ref="BP69:BP72"/>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M8:BM11"/>
    <mergeCell ref="BN8:BN11"/>
    <mergeCell ref="BO8:BO11"/>
    <mergeCell ref="BP8:BP11"/>
    <mergeCell ref="BH33:BO33"/>
    <mergeCell ref="BH34:BO34"/>
    <mergeCell ref="BH35:BO35"/>
    <mergeCell ref="BH36:BO36"/>
    <mergeCell ref="BH38:BO38"/>
    <mergeCell ref="BE46:BF47"/>
    <mergeCell ref="BE48:BF48"/>
    <mergeCell ref="BD55:BD58"/>
    <mergeCell ref="BE55:BE58"/>
    <mergeCell ref="BF55:BF58"/>
    <mergeCell ref="BG55:BG58"/>
    <mergeCell ref="BD69:BD72"/>
    <mergeCell ref="BE69:BE72"/>
    <mergeCell ref="BF69:BF72"/>
    <mergeCell ref="BG69:BG72"/>
    <mergeCell ref="BF8:BF11"/>
    <mergeCell ref="BG8:BG11"/>
    <mergeCell ref="AY33:BF33"/>
    <mergeCell ref="AY34:BF34"/>
    <mergeCell ref="AY35:BF35"/>
    <mergeCell ref="AY36:BF36"/>
    <mergeCell ref="AY38:BF38"/>
    <mergeCell ref="AY39:BF39"/>
    <mergeCell ref="AY41:BG41"/>
    <mergeCell ref="AU55:AU58"/>
    <mergeCell ref="AV55:AV58"/>
    <mergeCell ref="AW55:AW58"/>
    <mergeCell ref="AX55:AX58"/>
    <mergeCell ref="AU69:AU72"/>
    <mergeCell ref="AV69:AV72"/>
    <mergeCell ref="AW69:AW72"/>
    <mergeCell ref="AX69:AX72"/>
    <mergeCell ref="AU83:AU86"/>
    <mergeCell ref="AV83:AV86"/>
    <mergeCell ref="AW83:AW86"/>
    <mergeCell ref="AX83:AX86"/>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CJ98:CJ101"/>
    <mergeCell ref="J96:J101"/>
    <mergeCell ref="R96:R101"/>
    <mergeCell ref="X96:AF96"/>
    <mergeCell ref="AG96:CI96"/>
    <mergeCell ref="S97:S100"/>
    <mergeCell ref="K97:K100"/>
    <mergeCell ref="L98:L99"/>
    <mergeCell ref="AL97:AL100"/>
    <mergeCell ref="AM97:AM100"/>
    <mergeCell ref="AN97:AN100"/>
    <mergeCell ref="AO97:AO100"/>
    <mergeCell ref="AU97:AU100"/>
    <mergeCell ref="AV97:AV100"/>
    <mergeCell ref="AW97:AW100"/>
    <mergeCell ref="AX97:AX100"/>
    <mergeCell ref="BD97:BD100"/>
    <mergeCell ref="BE97:BE100"/>
    <mergeCell ref="BF97:BF100"/>
    <mergeCell ref="BG97:BG100"/>
    <mergeCell ref="BM97:BM100"/>
    <mergeCell ref="BN97:BN100"/>
    <mergeCell ref="BO97:BO100"/>
    <mergeCell ref="BP97:BP100"/>
    <mergeCell ref="F92:F105"/>
    <mergeCell ref="X92:AF92"/>
    <mergeCell ref="AG92:CI92"/>
    <mergeCell ref="G93:G104"/>
    <mergeCell ref="X93:AF93"/>
    <mergeCell ref="AG93:CI93"/>
    <mergeCell ref="H94:H103"/>
    <mergeCell ref="X94:AF94"/>
    <mergeCell ref="AG94:CI94"/>
    <mergeCell ref="I95:I102"/>
    <mergeCell ref="Q95:Q102"/>
    <mergeCell ref="X95:AF95"/>
    <mergeCell ref="AG95:CI95"/>
    <mergeCell ref="BV97:BV100"/>
    <mergeCell ref="BW97:BW100"/>
    <mergeCell ref="BX97:BX100"/>
    <mergeCell ref="BY97:BY100"/>
    <mergeCell ref="CG97:CG100"/>
    <mergeCell ref="CH97:CH100"/>
    <mergeCell ref="CE97:CE100"/>
    <mergeCell ref="CF97:CF100"/>
    <mergeCell ref="AE97:AE100"/>
    <mergeCell ref="AF97:AF100"/>
    <mergeCell ref="AC97:AC100"/>
    <mergeCell ref="CJ84:CJ87"/>
    <mergeCell ref="J82:J87"/>
    <mergeCell ref="R82:R87"/>
    <mergeCell ref="X82:AF82"/>
    <mergeCell ref="AG82:CI82"/>
    <mergeCell ref="S83:S86"/>
    <mergeCell ref="K83:K86"/>
    <mergeCell ref="L84:L85"/>
    <mergeCell ref="AL83:AL86"/>
    <mergeCell ref="AM83:AM86"/>
    <mergeCell ref="AN83:AN86"/>
    <mergeCell ref="AO83:AO86"/>
    <mergeCell ref="BD83:BD86"/>
    <mergeCell ref="BE83:BE86"/>
    <mergeCell ref="BF83:BF86"/>
    <mergeCell ref="BG83:BG86"/>
    <mergeCell ref="BM83:BM86"/>
    <mergeCell ref="BN83:BN86"/>
    <mergeCell ref="BO83:BO86"/>
    <mergeCell ref="BP83:BP86"/>
    <mergeCell ref="BV83:BV86"/>
    <mergeCell ref="BW83:BW86"/>
    <mergeCell ref="BX83:BX86"/>
    <mergeCell ref="BY83:BY86"/>
    <mergeCell ref="F78:F91"/>
    <mergeCell ref="X78:AF78"/>
    <mergeCell ref="AG78:CI78"/>
    <mergeCell ref="G79:G90"/>
    <mergeCell ref="X79:AF79"/>
    <mergeCell ref="AG79:CI79"/>
    <mergeCell ref="H80:H89"/>
    <mergeCell ref="X80:AF80"/>
    <mergeCell ref="AG80:CI80"/>
    <mergeCell ref="I81:I88"/>
    <mergeCell ref="Q81:Q88"/>
    <mergeCell ref="X81:AF81"/>
    <mergeCell ref="AG81:CI81"/>
    <mergeCell ref="I67:I74"/>
    <mergeCell ref="Q67:Q74"/>
    <mergeCell ref="X67:AF67"/>
    <mergeCell ref="AG67:CI67"/>
    <mergeCell ref="CJ70:CJ73"/>
    <mergeCell ref="J68:J73"/>
    <mergeCell ref="R68:R73"/>
    <mergeCell ref="X68:AF68"/>
    <mergeCell ref="AG68:CI68"/>
    <mergeCell ref="S69:S72"/>
    <mergeCell ref="K69:K72"/>
    <mergeCell ref="L70:L71"/>
    <mergeCell ref="AC69:AC72"/>
    <mergeCell ref="AE69:AE72"/>
    <mergeCell ref="AD69:AD72"/>
    <mergeCell ref="AF69:AF72"/>
    <mergeCell ref="AL69:AL72"/>
    <mergeCell ref="AM69:AM72"/>
    <mergeCell ref="AN69:AN72"/>
    <mergeCell ref="AO69:AO72"/>
    <mergeCell ref="V113:CJ113"/>
    <mergeCell ref="U39:V39"/>
    <mergeCell ref="X39:AE39"/>
    <mergeCell ref="AG39:AN39"/>
    <mergeCell ref="U38:V38"/>
    <mergeCell ref="X38:AE38"/>
    <mergeCell ref="AG38:AN38"/>
    <mergeCell ref="AL55:AL58"/>
    <mergeCell ref="AM55:AM58"/>
    <mergeCell ref="AN55:AN58"/>
    <mergeCell ref="AO55:AO58"/>
    <mergeCell ref="V112:CJ112"/>
    <mergeCell ref="CJ42:CJ47"/>
    <mergeCell ref="CJ56:CJ59"/>
    <mergeCell ref="V109:CJ109"/>
    <mergeCell ref="V110:CJ110"/>
    <mergeCell ref="Y44:AB44"/>
    <mergeCell ref="Y45:Y47"/>
    <mergeCell ref="Z45:AB45"/>
    <mergeCell ref="AA46:AB46"/>
    <mergeCell ref="Z46:Z47"/>
    <mergeCell ref="AC46:AC47"/>
    <mergeCell ref="AD46:AE47"/>
    <mergeCell ref="AC44:AE45"/>
    <mergeCell ref="AH44:AK44"/>
    <mergeCell ref="AL44:AN45"/>
    <mergeCell ref="AH45:AH47"/>
    <mergeCell ref="X53:AF53"/>
    <mergeCell ref="AG53:CI53"/>
    <mergeCell ref="AI45:AK45"/>
    <mergeCell ref="AI46:AI47"/>
    <mergeCell ref="AJ46:AK46"/>
    <mergeCell ref="AL46:AL47"/>
    <mergeCell ref="AM46:AN47"/>
    <mergeCell ref="CI43:CI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E49:E106"/>
    <mergeCell ref="X49:AF49"/>
    <mergeCell ref="AG49:CI49"/>
    <mergeCell ref="F50:F63"/>
    <mergeCell ref="X50:AF50"/>
    <mergeCell ref="AG50:CI50"/>
    <mergeCell ref="G51:G62"/>
    <mergeCell ref="X51:AF51"/>
    <mergeCell ref="AG51:CI51"/>
    <mergeCell ref="H52:H61"/>
    <mergeCell ref="X52:AF52"/>
    <mergeCell ref="AG52:CI52"/>
    <mergeCell ref="I53:I60"/>
    <mergeCell ref="Q53:Q60"/>
    <mergeCell ref="L56:L57"/>
    <mergeCell ref="F64:F77"/>
    <mergeCell ref="X64:AF64"/>
    <mergeCell ref="AG64:CI64"/>
    <mergeCell ref="G65:G76"/>
    <mergeCell ref="X65:AF65"/>
    <mergeCell ref="AG65:CI65"/>
    <mergeCell ref="H66:H75"/>
    <mergeCell ref="X66:AF66"/>
    <mergeCell ref="AG66:CI66"/>
    <mergeCell ref="U36:V36"/>
    <mergeCell ref="X36:AE36"/>
    <mergeCell ref="AG36:AN36"/>
    <mergeCell ref="X33:AE33"/>
    <mergeCell ref="AG33:AN33"/>
    <mergeCell ref="U34:V34"/>
    <mergeCell ref="X34:AE34"/>
    <mergeCell ref="AG34:AN34"/>
    <mergeCell ref="J54:J59"/>
    <mergeCell ref="R54:R59"/>
    <mergeCell ref="X54:AF54"/>
    <mergeCell ref="AG54:CI54"/>
    <mergeCell ref="K55:K58"/>
    <mergeCell ref="AD48:AE48"/>
    <mergeCell ref="AM48:AN48"/>
    <mergeCell ref="X41:AF41"/>
    <mergeCell ref="AG41:AO41"/>
    <mergeCell ref="U42:CI42"/>
    <mergeCell ref="U43:U47"/>
    <mergeCell ref="V43:V47"/>
    <mergeCell ref="X43:AE43"/>
    <mergeCell ref="AF43:AF47"/>
    <mergeCell ref="AG43:AN43"/>
    <mergeCell ref="AO43:AO47"/>
    <mergeCell ref="CJ9:CJ12"/>
    <mergeCell ref="J7:J12"/>
    <mergeCell ref="R7:R12"/>
    <mergeCell ref="X7:AF7"/>
    <mergeCell ref="AG7:CI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CI2"/>
    <mergeCell ref="F3:F16"/>
    <mergeCell ref="X3:AF3"/>
    <mergeCell ref="AG3:CI3"/>
    <mergeCell ref="G4:G15"/>
    <mergeCell ref="X4:AF4"/>
    <mergeCell ref="AG4:CI4"/>
    <mergeCell ref="H5:H14"/>
    <mergeCell ref="X5:AF5"/>
    <mergeCell ref="AG5:CI5"/>
    <mergeCell ref="I6:I13"/>
    <mergeCell ref="Q6:Q13"/>
    <mergeCell ref="X6:AF6"/>
    <mergeCell ref="AG6:CI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634 V131170 V196706 V262242 V327778 V393314 V458850 V524386 V589922 V655458 V720994 V786530 V852066 V917602 V983138">
      <formula1>kind_of_heat_transfer</formula1>
    </dataValidation>
    <dataValidation type="list" allowBlank="1" showInputMessage="1" showErrorMessage="1" errorTitle="Ошибка" error="Выберите значение из списка" sqref="X983136:Z983136 X65632:Z65632 X131168:Z131168 X196704:Z196704 X262240:Z262240 X327776:Z327776 X393312:Z393312 X458848:Z458848 X524384:Z524384 X589920:Z589920 X655456:Z655456 X720992:Z720992 X786528:Z786528 X852064:Z852064 X917600:Z917600 AG983136:AI983136 AG65632:AI65632 AG131168:AI131168 AG196704:AI196704 AG262240:AI262240 AG327776:AI327776 AG393312:AI393312 AG458848:AI458848 AG524384:AI524384 AG589920:AI589920 AG655456:AI655456 AG720992:AI720992 AG786528:AI786528 AG852064:AI852064 AG917600:AI917600">
      <formula1>kind_of_scheme_in</formula1>
    </dataValidation>
    <dataValidation type="list" allowBlank="1" showInputMessage="1" errorTitle="Ошибка" error="Выберите значение из списка" prompt="Выберите значение из списка" sqref="X983137:CI983137 X65633:CI65633 X131169:CI131169 X196705:CI196705 X262241:CI262241 X327777:CI327777 X393313:CI393313 X458849:CI458849 X524385:CI524385 X589921:CI589921 X655457:CI655457 X720993:CI720993 X786529:CI786529 X852065:CI852065 X917601:CI917601">
      <formula1>kind_of_cons</formula1>
    </dataValidation>
    <dataValidation allowBlank="1" sqref="U131172:CJ131178 U196708:CJ196714 U262244:CJ262250 U327780:CJ327786 U393316:CJ393322 U458852:CJ458858 U524388:CJ524394 U589924:CJ589930 U655460:CJ655466 U720996:CJ721002 U786532:CJ786538 U852068:CJ852074 U917604:CJ917610 U983140:CJ983146 U65636:CJ65642"/>
    <dataValidation type="textLength" operator="lessThanOrEqual" allowBlank="1" showInputMessage="1" showErrorMessage="1" errorTitle="Ошибка" error="Допускается ввод не более 900 символов!" sqref="CJ65628:CJ65635 CJ131164:CJ131171 CJ196700:CJ196707 CJ262236:CJ262243 CJ327772:CJ327779 CJ393308:CJ393315 CJ458844:CJ458851 CJ524380:CJ524387 CJ589916:CJ589923 CJ655452:CJ655459 CJ720988:CJ720995 CJ786524:CJ786531 CJ852060:CJ852067 CJ917596:CJ917603 CJ983132:CJ98313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34 AC131170 AC196706 AC262242 AC327778 AC393314 AC458850 AC524386 AC589922 AC655458 AC720994 AC786530 AC852066 AC917602 AC983138 AE65634 AE131170 AE196706 AE262242 AE327778 AE393314 AE458850 AE524386 AE589922 AE655458 AE720994 AE786530 AE852066 AE917602 AE983138 AN55 AL65634 AL131170 AL196706 AL262242 AL327778 AL393314 AL458850 AL524386 AL589922 AL655458 AL720994 AL786530 AL852066 AL917602 AL983138 AN65634 AN131170 AN196706 AN262242 AN327778 AN393314 AN458850 AN524386 AN589922 AN655458 AN720994 AN786530 AN852066 AN917602 AN983138 AC55 AE55 AL55 AE8 AC8 AL19:AL21 AN19:AN21 AN8 AL8 AC69 AE69 AL69 AN69 AC83 AE83 AL83 AN83 AC97 AE97 AL97 AN97 AU8 AW8 AU55 AW55 AU69 AW69 AU83 AW83 AU97 AW97 BD8 BF8 BD55 BF55 BD69 BF69 BD83 BF83 BD97 BF97 BM8 BO8 BM55 BO55 BM69 BO69 BM83 BO83 BM97 BO97 BV8 BX8 BV55 BX55 BV69 BX69 BV83 BX83 BV97 BX97 CE8 CG8 CE55 CG55 CE69 CG69 CE83 CG83 CE97 CG97 CE56 CG56 CE57 CG57 AC56 AE56 AC57 AE57 CE84 CG84 CE85 CG85 AC84 AE84 AC85 AE85 CE98 CG98 CE99 CG99 AC98 AE98 AC99 AE99"/>
    <dataValidation allowBlank="1" promptTitle="checkPeriodRange" sqref="AB65635 AB131171 AB196707 AB262243 AB327779 AB393315 AB458851 AB524387 AB589923 AB655459 AB720995 AB786531 AB852067 AB917603 AB983139 AB10:AB11 AK65635 AK131171 AK196707 AK262243 AK327779 AK393315 AK458851 AK524387 AK589923 AK655459 AK720995 AK786531 AK852067 AK917603 AK983139 AK10:AK11 AK57 AK22 AB71 AK71 AB72 AK72 AK85 AB86 AK86 AK99 AB100 AK100 AT10 AT11 AT57 AT71 AT72 AT85 AT86 AT99 AT100 BC10 BC11 BC57 BC71 BC72 BC85 BC86 BC99 BC100 BL10 BL11 BL57 BL71 BL72 BL85 BL86 BL99 BL100 BU10 BU11 BU57 BU71 BU72 BU85 BU86 BU99 BU100 CD10 CD11 CD71 CD72 CD86 CD100 CD58 AB58"/>
    <dataValidation allowBlank="1" showInputMessage="1" showErrorMessage="1" prompt="Для выбора выполните двойной щелчок левой клавиши мыши по соответствующей ячейке." sqref="AD65634 AD131170 AD196706 AD262242 AD327778 AD393314 AD458850 AD524386 AD589922 AD655458 AD720994 AD786530 AD852066 AD917602 AD983138 AF131170 AF458850 AF196706 AF262242 AF327778 AF393314 AF524386 AF589922 AF655458 AF720994 AF786530 AF852066 AF917602 AF983138 AF65634 AM65634 AM131170 AM196706 AM262242 AM327778 AM393314 AM458850 AM524386 AM589922 AM655458 AM720994 AM786530 AM852066 AM917602 AM983138 AO393314:CH393314 AO327778:CH327778 AO524386:CH524386 AO55 AV55 AX55 BE55 BG55 BN55 BP55 BW55 BY55 CF55 CH55 AO589922:CH589922 AO655458:CH655458 AO19:AO21 AO720994:CH720994 AO786530:CH786530 AO852066:CH852066 AO917602:CH917602 AO983138:CH983138 AO65634:CH65634 AO131170:CH131170 AO458850:CH458850 AF55 AO196706:CH196706 AF8 AD8 AM55 AM19:AM21 AO262242:CH262242 AD55 AO8 AV8 AX8 BE8 BG8 BN8 BP8 BW8 BY8 CF8 CH8 AM8 AD69 AF69 AM69 AO69 AV69 AX69 BE69 BG69 BN69 BP69 BW69 BY69 CF69 CH69 AD83 AF83 AM83 AO83 AV83 AX83 BE83 BG83 BN83 BP83 BW83 BY83 CF83 CH83 AD97 AF97 AM97 AO97 AV97 AX97 BE97 BG97 BN97 BP97 BW97 BY97 CF97 CH97 CF56 CH56 CF57 CH57 AD56 AF56 AD57 AF57 CF84 CH84 CF85 CH85 AD84 AF84 AD85 AF85 CF98 CH98 CF99 CH99 AD98 AF98 AD99 AF9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73"/>
  <sheetViews>
    <sheetView showGridLines="0" topLeftCell="R26" zoomScale="90" workbookViewId="0">
      <selection activeCell="AE55" sqref="AE55:AE57"/>
    </sheetView>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2068" hidden="1" customWidth="1"/>
    <col min="13" max="14" width="12.28515625" style="2069" hidden="1" customWidth="1"/>
    <col min="15" max="15" width="23.42578125" style="2069" hidden="1" customWidth="1"/>
    <col min="16" max="16" width="3.7109375" style="2069" hidden="1" customWidth="1"/>
    <col min="17" max="17" width="3.7109375" style="2070" hidden="1" customWidth="1"/>
    <col min="18" max="18" width="3.7109375" style="2075" customWidth="1"/>
    <col min="19" max="19" width="12.7109375" style="2076" customWidth="1"/>
    <col min="20" max="20" width="32" style="2042" customWidth="1"/>
    <col min="21" max="21" width="0.140625" style="2042" customWidth="1"/>
    <col min="22" max="23" width="21.7109375" style="2042" hidden="1" customWidth="1"/>
    <col min="24" max="24" width="11.7109375" style="2042" hidden="1" customWidth="1"/>
    <col min="25" max="25" width="3.7109375" style="2042" hidden="1" customWidth="1"/>
    <col min="26" max="26" width="11.7109375" style="2042" hidden="1" customWidth="1"/>
    <col min="27" max="27" width="8.5703125" style="2042" hidden="1" customWidth="1"/>
    <col min="28" max="28" width="5.42578125" style="2042" customWidth="1"/>
    <col min="29" max="30" width="3.7109375" style="2042" customWidth="1"/>
    <col min="31" max="31" width="24.7109375" style="2042" customWidth="1"/>
    <col min="32" max="34" width="3.7109375" style="2042" customWidth="1"/>
    <col min="35" max="35" width="24.7109375" style="2042" customWidth="1"/>
    <col min="36" max="38" width="3.7109375" style="2042" customWidth="1"/>
    <col min="39" max="39" width="18.85546875" style="2042" customWidth="1"/>
    <col min="40" max="41" width="21.7109375" style="2042" customWidth="1"/>
    <col min="42" max="42" width="11.7109375" style="2042" customWidth="1"/>
    <col min="43" max="43" width="3.7109375" style="2042" customWidth="1"/>
    <col min="44" max="44" width="11.7109375" style="2042" customWidth="1"/>
    <col min="45" max="45" width="8.5703125" style="2042" customWidth="1"/>
    <col min="46" max="46" width="4.7109375" style="2042" customWidth="1"/>
    <col min="47" max="47" width="115.7109375" style="2042" customWidth="1"/>
    <col min="48" max="49" width="10.5703125" style="1817"/>
    <col min="50" max="50" width="11.140625" style="1817" customWidth="1"/>
    <col min="51" max="52" width="10.5703125" style="1817"/>
  </cols>
  <sheetData>
    <row r="1" spans="1:52" ht="14.25" hidden="1" customHeight="1">
      <c r="W1" s="254"/>
      <c r="X1" s="254"/>
      <c r="AO1" s="254"/>
      <c r="AP1" s="254"/>
    </row>
    <row r="2" spans="1:52" ht="21" hidden="1" customHeight="1">
      <c r="A2" s="1279"/>
      <c r="B2" s="1279"/>
      <c r="C2" s="1279"/>
      <c r="D2" s="1279"/>
      <c r="E2" s="6763">
        <v>1</v>
      </c>
      <c r="F2" s="1279"/>
      <c r="G2" s="1279"/>
      <c r="H2" s="1279"/>
      <c r="I2" s="1279"/>
      <c r="J2" s="1279"/>
      <c r="K2" s="1279"/>
      <c r="L2" s="1280"/>
      <c r="M2" s="1281"/>
      <c r="N2" s="1281"/>
      <c r="O2" s="1281"/>
      <c r="P2" s="1324"/>
      <c r="Q2" s="786"/>
      <c r="R2" s="280"/>
      <c r="S2" s="1253" t="e">
        <f>INDEX(PT_DIFFERENTIATION_NUM_NTAR,MATCH(A2,PT_DIFFERENTIATION_NTAR_ID,0))</f>
        <v>#N/A</v>
      </c>
      <c r="T2" s="217" t="s">
        <v>189</v>
      </c>
      <c r="U2" s="219"/>
      <c r="V2" s="6750"/>
      <c r="W2" s="6750"/>
      <c r="X2" s="6750"/>
      <c r="Y2" s="6750"/>
      <c r="Z2" s="6750"/>
      <c r="AA2" s="6751"/>
      <c r="AB2" s="6749" t="e">
        <f>INDEX(PT_DIFFERENTIATION_NTAR,MATCH(A2,PT_DIFFERENTIATION_NTAR_ID,0))</f>
        <v>#N/A</v>
      </c>
      <c r="AC2" s="6750"/>
      <c r="AD2" s="6750"/>
      <c r="AE2" s="6750"/>
      <c r="AF2" s="6750"/>
      <c r="AG2" s="6750"/>
      <c r="AH2" s="6750"/>
      <c r="AI2" s="6750"/>
      <c r="AJ2" s="6750"/>
      <c r="AK2" s="6750"/>
      <c r="AL2" s="6750"/>
      <c r="AM2" s="6750"/>
      <c r="AN2" s="6750"/>
      <c r="AO2" s="6750"/>
      <c r="AP2" s="6750"/>
      <c r="AQ2" s="6750"/>
      <c r="AR2" s="6750"/>
      <c r="AS2" s="6750"/>
      <c r="AT2" s="6751"/>
      <c r="AU2" s="1177" t="s">
        <v>516</v>
      </c>
      <c r="AW2" s="426"/>
      <c r="AX2" s="426" t="str">
        <f t="shared" ref="AX2:AX8" si="0">IF(T2="","",T2)</f>
        <v>Наименование тарифа</v>
      </c>
      <c r="AY2" s="426"/>
      <c r="AZ2" s="426"/>
    </row>
    <row r="3" spans="1:52" ht="21" hidden="1" customHeight="1">
      <c r="A3" s="1279"/>
      <c r="B3" s="1279"/>
      <c r="C3" s="1279"/>
      <c r="D3" s="1279"/>
      <c r="E3" s="6764"/>
      <c r="F3" s="6763">
        <v>1</v>
      </c>
      <c r="G3" s="1279"/>
      <c r="H3" s="1279"/>
      <c r="I3" s="1279"/>
      <c r="J3" s="1279"/>
      <c r="K3" s="1279"/>
      <c r="L3" s="1280"/>
      <c r="M3" s="1281"/>
      <c r="N3" s="1281"/>
      <c r="O3" s="1281"/>
      <c r="P3" s="1325"/>
      <c r="Q3" s="1326"/>
      <c r="R3" s="278"/>
      <c r="S3" s="1253" t="e">
        <f>INDEX(PT_DIFFERENTIATION_NUM_TER,MATCH(B3,PT_DIFFERENTIATION_TER_ID,0))</f>
        <v>#N/A</v>
      </c>
      <c r="T3" s="229" t="s">
        <v>517</v>
      </c>
      <c r="U3" s="219"/>
      <c r="V3" s="6750"/>
      <c r="W3" s="6750"/>
      <c r="X3" s="6750"/>
      <c r="Y3" s="6750"/>
      <c r="Z3" s="6750"/>
      <c r="AA3" s="6751"/>
      <c r="AB3" s="6749" t="e">
        <f>INDEX(PT_DIFFERENTIATION_TER,MATCH(B3,PT_DIFFERENTIATION_TER_ID,0))</f>
        <v>#N/A</v>
      </c>
      <c r="AC3" s="6750"/>
      <c r="AD3" s="6750"/>
      <c r="AE3" s="6750"/>
      <c r="AF3" s="6750"/>
      <c r="AG3" s="6750"/>
      <c r="AH3" s="6750"/>
      <c r="AI3" s="6750"/>
      <c r="AJ3" s="6750"/>
      <c r="AK3" s="6750"/>
      <c r="AL3" s="6750"/>
      <c r="AM3" s="6750"/>
      <c r="AN3" s="6750"/>
      <c r="AO3" s="6750"/>
      <c r="AP3" s="6750"/>
      <c r="AQ3" s="6750"/>
      <c r="AR3" s="6750"/>
      <c r="AS3" s="6750"/>
      <c r="AT3" s="6751"/>
      <c r="AU3" s="1177" t="s">
        <v>518</v>
      </c>
      <c r="AW3" s="426"/>
      <c r="AX3" s="426" t="str">
        <f t="shared" si="0"/>
        <v>Территория действия тарифа</v>
      </c>
      <c r="AY3" s="426"/>
      <c r="AZ3" s="426"/>
    </row>
    <row r="4" spans="1:52" ht="22.5" hidden="1" customHeight="1">
      <c r="A4" s="1279"/>
      <c r="B4" s="1279"/>
      <c r="C4" s="1279"/>
      <c r="D4" s="1279"/>
      <c r="E4" s="6764"/>
      <c r="F4" s="6764"/>
      <c r="G4" s="6763">
        <v>1</v>
      </c>
      <c r="H4" s="1279"/>
      <c r="I4" s="1279"/>
      <c r="J4" s="1279"/>
      <c r="K4" s="1279"/>
      <c r="L4" s="1280"/>
      <c r="M4" s="1281"/>
      <c r="N4" s="1281"/>
      <c r="O4" s="1281"/>
      <c r="P4" s="1327"/>
      <c r="Q4" s="1326"/>
      <c r="R4" s="278"/>
      <c r="S4" s="1253" t="e">
        <f>INDEX(PT_DIFFERENTIATION_NUM_CS,MATCH(C4,PT_DIFFERENTIATION_CS_ID,0))</f>
        <v>#N/A</v>
      </c>
      <c r="T4" s="230" t="s">
        <v>519</v>
      </c>
      <c r="U4" s="219"/>
      <c r="V4" s="6750"/>
      <c r="W4" s="6750"/>
      <c r="X4" s="6750"/>
      <c r="Y4" s="6750"/>
      <c r="Z4" s="6750"/>
      <c r="AA4" s="6751"/>
      <c r="AB4" s="6749" t="e">
        <f>INDEX(PT_DIFFERENTIATION_CS,MATCH(C4,PT_DIFFERENTIATION_CS_ID,0))</f>
        <v>#N/A</v>
      </c>
      <c r="AC4" s="6750"/>
      <c r="AD4" s="6750"/>
      <c r="AE4" s="6750"/>
      <c r="AF4" s="6750"/>
      <c r="AG4" s="6750"/>
      <c r="AH4" s="6750"/>
      <c r="AI4" s="6750"/>
      <c r="AJ4" s="6750"/>
      <c r="AK4" s="6750"/>
      <c r="AL4" s="6750"/>
      <c r="AM4" s="6750"/>
      <c r="AN4" s="6750"/>
      <c r="AO4" s="6750"/>
      <c r="AP4" s="6750"/>
      <c r="AQ4" s="6750"/>
      <c r="AR4" s="6750"/>
      <c r="AS4" s="6750"/>
      <c r="AT4" s="6751"/>
      <c r="AU4" s="1177" t="s">
        <v>520</v>
      </c>
      <c r="AW4" s="426"/>
      <c r="AX4" s="426" t="str">
        <f t="shared" si="0"/>
        <v xml:space="preserve">Наименование системы теплоснабжения </v>
      </c>
      <c r="AY4" s="426"/>
      <c r="AZ4" s="426"/>
    </row>
    <row r="5" spans="1:52" ht="21" hidden="1" customHeight="1">
      <c r="A5" s="1279"/>
      <c r="B5" s="1279"/>
      <c r="C5" s="1279"/>
      <c r="D5" s="1279"/>
      <c r="E5" s="6764"/>
      <c r="F5" s="6764"/>
      <c r="G5" s="6764"/>
      <c r="H5" s="6763">
        <v>1</v>
      </c>
      <c r="I5" s="1279"/>
      <c r="J5" s="1279"/>
      <c r="K5" s="1279"/>
      <c r="L5" s="1280"/>
      <c r="M5" s="1281"/>
      <c r="N5" s="1281"/>
      <c r="O5" s="1281"/>
      <c r="P5" s="1327"/>
      <c r="Q5" s="1326"/>
      <c r="R5" s="278"/>
      <c r="S5" s="1253" t="e">
        <f>INDEX(PT_DIFFERENTIATION_NUM_IST_TE,MATCH(D5,PT_DIFFERENTIATION_IST_TE_ID,0))</f>
        <v>#N/A</v>
      </c>
      <c r="T5" s="231" t="s">
        <v>521</v>
      </c>
      <c r="U5" s="219"/>
      <c r="V5" s="6750"/>
      <c r="W5" s="6750"/>
      <c r="X5" s="6750"/>
      <c r="Y5" s="6750"/>
      <c r="Z5" s="6750"/>
      <c r="AA5" s="6751"/>
      <c r="AB5" s="6749" t="e">
        <f>INDEX(PT_DIFFERENTIATION_IST_TE,MATCH(D5,PT_DIFFERENTIATION_IST_TE_ID,0))</f>
        <v>#N/A</v>
      </c>
      <c r="AC5" s="6750"/>
      <c r="AD5" s="6750"/>
      <c r="AE5" s="6750"/>
      <c r="AF5" s="6750"/>
      <c r="AG5" s="6750"/>
      <c r="AH5" s="6750"/>
      <c r="AI5" s="6750"/>
      <c r="AJ5" s="6750"/>
      <c r="AK5" s="6750"/>
      <c r="AL5" s="6750"/>
      <c r="AM5" s="6750"/>
      <c r="AN5" s="6750"/>
      <c r="AO5" s="6750"/>
      <c r="AP5" s="6750"/>
      <c r="AQ5" s="6750"/>
      <c r="AR5" s="6750"/>
      <c r="AS5" s="6750"/>
      <c r="AT5" s="6751"/>
      <c r="AU5" s="1177" t="s">
        <v>522</v>
      </c>
      <c r="AW5" s="426"/>
      <c r="AX5" s="426" t="str">
        <f t="shared" si="0"/>
        <v xml:space="preserve">Источник тепловой энергии  </v>
      </c>
      <c r="AY5" s="426"/>
      <c r="AZ5" s="426"/>
    </row>
    <row r="6" spans="1:52" s="1817" customFormat="1" ht="14.25" hidden="1" customHeight="1">
      <c r="A6" s="1260"/>
      <c r="B6" s="1260"/>
      <c r="C6" s="1260"/>
      <c r="D6" s="1260"/>
      <c r="E6" s="6764"/>
      <c r="F6" s="6764"/>
      <c r="G6" s="6764"/>
      <c r="H6" s="6764"/>
      <c r="I6" s="6761" t="e">
        <f>S5&amp;".1"</f>
        <v>#N/A</v>
      </c>
      <c r="J6" s="1260"/>
      <c r="K6" s="1260"/>
      <c r="L6" s="1263" t="s">
        <v>523</v>
      </c>
      <c r="M6" s="436"/>
      <c r="N6" s="436"/>
      <c r="O6" s="436"/>
      <c r="P6" s="6762">
        <v>1</v>
      </c>
      <c r="Q6" s="1248"/>
      <c r="R6" s="281"/>
      <c r="S6" s="949"/>
      <c r="T6" s="1299"/>
      <c r="U6" s="1300"/>
      <c r="V6" s="6791"/>
      <c r="W6" s="6791"/>
      <c r="X6" s="6791"/>
      <c r="Y6" s="6791"/>
      <c r="Z6" s="6791"/>
      <c r="AA6" s="6792"/>
      <c r="AB6" s="6790"/>
      <c r="AC6" s="6791"/>
      <c r="AD6" s="6791"/>
      <c r="AE6" s="6791"/>
      <c r="AF6" s="6791"/>
      <c r="AG6" s="6791"/>
      <c r="AH6" s="6791"/>
      <c r="AI6" s="6791"/>
      <c r="AJ6" s="6791"/>
      <c r="AK6" s="6791"/>
      <c r="AL6" s="6791"/>
      <c r="AM6" s="6791"/>
      <c r="AN6" s="6791"/>
      <c r="AO6" s="6791"/>
      <c r="AP6" s="6791"/>
      <c r="AQ6" s="6791"/>
      <c r="AR6" s="6791"/>
      <c r="AS6" s="6791"/>
      <c r="AT6" s="6792"/>
      <c r="AU6" s="1301"/>
      <c r="AW6" s="426"/>
      <c r="AX6" s="426" t="str">
        <f t="shared" si="0"/>
        <v/>
      </c>
      <c r="AY6" s="426"/>
      <c r="AZ6" s="426"/>
    </row>
    <row r="7" spans="1:52" s="1817" customFormat="1" ht="14.25" hidden="1" customHeight="1">
      <c r="A7" s="1260"/>
      <c r="B7" s="1260"/>
      <c r="C7" s="1260"/>
      <c r="D7" s="1260"/>
      <c r="E7" s="6764"/>
      <c r="F7" s="6764"/>
      <c r="G7" s="6764"/>
      <c r="H7" s="6764"/>
      <c r="I7" s="6784"/>
      <c r="J7" s="6761" t="e">
        <f>S5&amp;".1"</f>
        <v>#N/A</v>
      </c>
      <c r="K7" s="1260"/>
      <c r="L7" s="1263"/>
      <c r="M7" s="436"/>
      <c r="N7" s="436"/>
      <c r="O7" s="436"/>
      <c r="P7" s="6762"/>
      <c r="Q7" s="6762">
        <v>1</v>
      </c>
      <c r="R7" s="282"/>
      <c r="S7" s="949"/>
      <c r="T7" s="1315"/>
      <c r="U7" s="1300"/>
      <c r="V7" s="6791"/>
      <c r="W7" s="6791"/>
      <c r="X7" s="6791"/>
      <c r="Y7" s="6791"/>
      <c r="Z7" s="6791"/>
      <c r="AA7" s="6792"/>
      <c r="AB7" s="6790"/>
      <c r="AC7" s="6791"/>
      <c r="AD7" s="6791"/>
      <c r="AE7" s="6791"/>
      <c r="AF7" s="6791"/>
      <c r="AG7" s="6791"/>
      <c r="AH7" s="6791"/>
      <c r="AI7" s="6791"/>
      <c r="AJ7" s="6791"/>
      <c r="AK7" s="6791"/>
      <c r="AL7" s="6791"/>
      <c r="AM7" s="6791"/>
      <c r="AN7" s="6791"/>
      <c r="AO7" s="6791"/>
      <c r="AP7" s="6791"/>
      <c r="AQ7" s="6791"/>
      <c r="AR7" s="6791"/>
      <c r="AS7" s="6791"/>
      <c r="AT7" s="6792"/>
      <c r="AU7" s="1301"/>
      <c r="AW7" s="426"/>
      <c r="AX7" s="426" t="str">
        <f t="shared" si="0"/>
        <v/>
      </c>
      <c r="AY7" s="426"/>
      <c r="AZ7" s="426"/>
    </row>
    <row r="8" spans="1:52" ht="21" hidden="1" customHeight="1">
      <c r="A8" s="1279"/>
      <c r="B8" s="1279"/>
      <c r="C8" s="1279"/>
      <c r="D8" s="1279"/>
      <c r="E8" s="6764"/>
      <c r="F8" s="6764"/>
      <c r="G8" s="6764"/>
      <c r="H8" s="6764"/>
      <c r="I8" s="6784"/>
      <c r="J8" s="6784"/>
      <c r="K8" s="6761" t="e">
        <f>S5&amp;".1"</f>
        <v>#N/A</v>
      </c>
      <c r="L8" s="1280"/>
      <c r="P8" s="6762"/>
      <c r="Q8" s="6762"/>
      <c r="R8" s="6819">
        <v>1</v>
      </c>
      <c r="S8" s="6813" t="e">
        <f>$K8</f>
        <v>#N/A</v>
      </c>
      <c r="T8" s="6816"/>
      <c r="U8" s="219"/>
      <c r="V8" s="668"/>
      <c r="W8" s="1176"/>
      <c r="X8" s="6766"/>
      <c r="Y8" s="6610" t="s">
        <v>61</v>
      </c>
      <c r="Z8" s="6766"/>
      <c r="AA8" s="6610" t="s">
        <v>61</v>
      </c>
      <c r="AB8" s="6610" t="s">
        <v>56</v>
      </c>
      <c r="AC8" s="6799"/>
      <c r="AD8" s="6718">
        <v>1</v>
      </c>
      <c r="AE8" s="6800"/>
      <c r="AF8" s="6610" t="s">
        <v>56</v>
      </c>
      <c r="AG8" s="6799"/>
      <c r="AH8" s="6718">
        <v>1</v>
      </c>
      <c r="AI8" s="6800"/>
      <c r="AJ8" s="6610" t="s">
        <v>56</v>
      </c>
      <c r="AK8" s="232"/>
      <c r="AL8" s="1254">
        <v>1</v>
      </c>
      <c r="AM8" s="1314"/>
      <c r="AN8" s="668"/>
      <c r="AO8" s="1176"/>
      <c r="AP8" s="1643"/>
      <c r="AQ8" s="1371" t="s">
        <v>61</v>
      </c>
      <c r="AR8" s="1643"/>
      <c r="AS8" s="1371" t="s">
        <v>61</v>
      </c>
      <c r="AT8" s="1265"/>
      <c r="AU8" s="6758" t="s">
        <v>582</v>
      </c>
      <c r="AV8" s="437" t="e">
        <f ca="1">STRCHECKDATE(V11:AT11)</f>
        <v>#NAME?</v>
      </c>
      <c r="AW8" s="426"/>
      <c r="AX8" s="426" t="str">
        <f t="shared" si="0"/>
        <v/>
      </c>
      <c r="AY8" s="426"/>
      <c r="AZ8" s="426"/>
    </row>
    <row r="9" spans="1:52" ht="11.25" hidden="1" customHeight="1">
      <c r="A9" s="1279"/>
      <c r="B9" s="1279"/>
      <c r="C9" s="1279"/>
      <c r="D9" s="1279"/>
      <c r="E9" s="6764"/>
      <c r="F9" s="6764"/>
      <c r="G9" s="6764"/>
      <c r="H9" s="6764"/>
      <c r="I9" s="6784"/>
      <c r="J9" s="6784"/>
      <c r="K9" s="6761"/>
      <c r="L9" s="1280"/>
      <c r="P9" s="6762"/>
      <c r="Q9" s="6762"/>
      <c r="R9" s="6819"/>
      <c r="S9" s="6814"/>
      <c r="T9" s="6817"/>
      <c r="U9" s="219"/>
      <c r="V9" s="1309"/>
      <c r="W9" s="1313"/>
      <c r="X9" s="6766"/>
      <c r="Y9" s="6610"/>
      <c r="Z9" s="6766"/>
      <c r="AA9" s="6610"/>
      <c r="AB9" s="6610"/>
      <c r="AC9" s="6799"/>
      <c r="AD9" s="6718"/>
      <c r="AE9" s="6800"/>
      <c r="AF9" s="6610"/>
      <c r="AG9" s="6799"/>
      <c r="AH9" s="6718"/>
      <c r="AI9" s="6800"/>
      <c r="AJ9" s="6610"/>
      <c r="AK9" s="239"/>
      <c r="AL9" s="350"/>
      <c r="AM9" s="349" t="s">
        <v>583</v>
      </c>
      <c r="AN9" s="1309"/>
      <c r="AO9" s="1405"/>
      <c r="AP9" s="1309"/>
      <c r="AQ9" s="1309"/>
      <c r="AR9" s="1309"/>
      <c r="AS9" s="1309"/>
      <c r="AT9" s="1306"/>
      <c r="AU9" s="6759"/>
      <c r="AW9" s="426"/>
      <c r="AX9" s="426"/>
      <c r="AY9" s="426"/>
      <c r="AZ9" s="426"/>
    </row>
    <row r="10" spans="1:52" ht="11.25" hidden="1" customHeight="1">
      <c r="A10" s="1279"/>
      <c r="B10" s="1279"/>
      <c r="C10" s="1279"/>
      <c r="D10" s="1279"/>
      <c r="E10" s="6764"/>
      <c r="F10" s="6764"/>
      <c r="G10" s="6764"/>
      <c r="H10" s="6764"/>
      <c r="I10" s="6784"/>
      <c r="J10" s="6784"/>
      <c r="K10" s="6761"/>
      <c r="L10" s="1280"/>
      <c r="P10" s="6762"/>
      <c r="Q10" s="6762"/>
      <c r="R10" s="6819"/>
      <c r="S10" s="6814"/>
      <c r="T10" s="6817"/>
      <c r="U10" s="219"/>
      <c r="V10" s="1309"/>
      <c r="W10" s="1313"/>
      <c r="X10" s="6766"/>
      <c r="Y10" s="6610"/>
      <c r="Z10" s="6766"/>
      <c r="AA10" s="6610"/>
      <c r="AB10" s="6610"/>
      <c r="AC10" s="6799"/>
      <c r="AD10" s="6718"/>
      <c r="AE10" s="6800"/>
      <c r="AF10" s="6610"/>
      <c r="AG10" s="213"/>
      <c r="AH10" s="349"/>
      <c r="AI10" s="349" t="s">
        <v>584</v>
      </c>
      <c r="AJ10" s="1309"/>
      <c r="AK10" s="1309"/>
      <c r="AL10" s="1309"/>
      <c r="AM10" s="1309"/>
      <c r="AN10" s="1309"/>
      <c r="AO10" s="1405"/>
      <c r="AP10" s="1309"/>
      <c r="AQ10" s="1309"/>
      <c r="AR10" s="1309"/>
      <c r="AS10" s="1309"/>
      <c r="AT10" s="1306"/>
      <c r="AU10" s="6759"/>
      <c r="AW10" s="426"/>
      <c r="AX10" s="426"/>
      <c r="AY10" s="426"/>
      <c r="AZ10" s="426"/>
    </row>
    <row r="11" spans="1:52" ht="11.25" hidden="1" customHeight="1">
      <c r="A11" s="1279"/>
      <c r="B11" s="1279"/>
      <c r="C11" s="1279"/>
      <c r="D11" s="1279"/>
      <c r="E11" s="6764"/>
      <c r="F11" s="6764"/>
      <c r="G11" s="6764"/>
      <c r="H11" s="6764"/>
      <c r="I11" s="6784"/>
      <c r="J11" s="6784"/>
      <c r="K11" s="6761"/>
      <c r="L11" s="1280"/>
      <c r="P11" s="6762"/>
      <c r="Q11" s="6762"/>
      <c r="R11" s="6819"/>
      <c r="S11" s="6815"/>
      <c r="T11" s="6818"/>
      <c r="U11" s="219"/>
      <c r="V11" s="1309"/>
      <c r="W11" s="1312" t="str">
        <f>X8&amp;"-"&amp;Z8</f>
        <v>-</v>
      </c>
      <c r="X11" s="6767"/>
      <c r="Y11" s="6610"/>
      <c r="Z11" s="6767"/>
      <c r="AA11" s="6610"/>
      <c r="AB11" s="6610"/>
      <c r="AC11" s="233"/>
      <c r="AD11" s="235"/>
      <c r="AE11" s="349" t="s">
        <v>585</v>
      </c>
      <c r="AF11" s="1309"/>
      <c r="AG11" s="1309"/>
      <c r="AH11" s="1309"/>
      <c r="AI11" s="1309"/>
      <c r="AJ11" s="1309"/>
      <c r="AK11" s="1309"/>
      <c r="AL11" s="1309"/>
      <c r="AM11" s="1309"/>
      <c r="AN11" s="1309"/>
      <c r="AO11" s="1310" t="str">
        <f>AP8&amp;"-"&amp;AR8</f>
        <v>-</v>
      </c>
      <c r="AP11" s="1309"/>
      <c r="AQ11" s="1309"/>
      <c r="AR11" s="1309"/>
      <c r="AS11" s="1309"/>
      <c r="AT11" s="1266"/>
      <c r="AU11" s="6759"/>
      <c r="AW11" s="426"/>
      <c r="AX11" s="426" t="str">
        <f t="shared" ref="AX11:AX17" si="1">IF(T11="","",T11)</f>
        <v/>
      </c>
      <c r="AY11" s="426"/>
      <c r="AZ11" s="426"/>
    </row>
    <row r="12" spans="1:52" ht="11.25" hidden="1" customHeight="1">
      <c r="A12" s="1279"/>
      <c r="B12" s="1279"/>
      <c r="C12" s="1279"/>
      <c r="D12" s="1279"/>
      <c r="E12" s="6764"/>
      <c r="F12" s="6764"/>
      <c r="G12" s="6764"/>
      <c r="H12" s="6764"/>
      <c r="I12" s="6784"/>
      <c r="J12" s="6761"/>
      <c r="K12" s="1279"/>
      <c r="L12" s="1280"/>
      <c r="P12" s="6762"/>
      <c r="Q12" s="6762"/>
      <c r="R12" s="281"/>
      <c r="S12" s="1198"/>
      <c r="T12" s="206" t="s">
        <v>586</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6760"/>
      <c r="AW12" s="426"/>
      <c r="AX12" s="426" t="str">
        <f t="shared" si="1"/>
        <v>Добавить строку</v>
      </c>
      <c r="AY12" s="426"/>
      <c r="AZ12" s="426"/>
    </row>
    <row r="13" spans="1:52" s="1817" customFormat="1" ht="14.25" hidden="1" customHeight="1">
      <c r="A13" s="1260"/>
      <c r="B13" s="1260"/>
      <c r="C13" s="1260"/>
      <c r="D13" s="1260"/>
      <c r="E13" s="6764"/>
      <c r="F13" s="6764"/>
      <c r="G13" s="6764"/>
      <c r="H13" s="6764"/>
      <c r="I13" s="6761"/>
      <c r="J13" s="1260"/>
      <c r="K13" s="1260"/>
      <c r="L13" s="1263"/>
      <c r="M13" s="436"/>
      <c r="N13" s="436"/>
      <c r="O13" s="436"/>
      <c r="P13" s="6762"/>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17" customFormat="1" ht="14.25" hidden="1" customHeight="1">
      <c r="A14" s="1260"/>
      <c r="B14" s="1260"/>
      <c r="C14" s="1260"/>
      <c r="D14" s="1260"/>
      <c r="E14" s="6764"/>
      <c r="F14" s="6764"/>
      <c r="G14" s="6764"/>
      <c r="H14" s="6763"/>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2067" customFormat="1" ht="14.25" hidden="1" customHeight="1">
      <c r="A15" s="1260"/>
      <c r="B15" s="1260"/>
      <c r="C15" s="1260"/>
      <c r="D15" s="1232"/>
      <c r="E15" s="6764"/>
      <c r="F15" s="6764"/>
      <c r="G15" s="6763"/>
      <c r="H15" s="1232"/>
      <c r="I15" s="1232"/>
      <c r="J15" s="1232"/>
      <c r="K15" s="1232"/>
      <c r="L15" s="1256"/>
      <c r="M15" s="1233"/>
      <c r="N15" s="1233"/>
      <c r="P15" s="1234"/>
      <c r="Q15" s="1235"/>
      <c r="R15" s="1234"/>
      <c r="S15" s="1240"/>
      <c r="T15" s="1243" t="s">
        <v>228</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2067" customFormat="1" ht="14.25" hidden="1" customHeight="1">
      <c r="A16" s="1260"/>
      <c r="B16" s="1260"/>
      <c r="C16" s="1232"/>
      <c r="D16" s="1232"/>
      <c r="E16" s="6764"/>
      <c r="F16" s="6763"/>
      <c r="G16" s="1232"/>
      <c r="H16" s="1232"/>
      <c r="I16" s="1232"/>
      <c r="J16" s="1232"/>
      <c r="K16" s="1232"/>
      <c r="L16" s="1256"/>
      <c r="M16" s="1239"/>
      <c r="N16" s="1239"/>
      <c r="P16" s="1234"/>
      <c r="Q16" s="1235"/>
      <c r="R16" s="1234"/>
      <c r="S16" s="1240"/>
      <c r="T16" s="1243" t="s">
        <v>229</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17" customFormat="1" ht="14.25" hidden="1" customHeight="1">
      <c r="A17" s="1260"/>
      <c r="B17" s="1260"/>
      <c r="C17" s="1260"/>
      <c r="D17" s="1260"/>
      <c r="E17" s="6763"/>
      <c r="F17" s="1260"/>
      <c r="G17" s="1260"/>
      <c r="H17" s="1260"/>
      <c r="I17" s="1260"/>
      <c r="J17" s="1260"/>
      <c r="K17" s="1260"/>
      <c r="L17" s="1263"/>
      <c r="M17" s="1239"/>
      <c r="N17" s="1239"/>
      <c r="O17" s="444"/>
      <c r="P17" s="313"/>
      <c r="Q17" s="1261"/>
      <c r="R17" s="313"/>
      <c r="S17" s="1240"/>
      <c r="T17" s="1243" t="s">
        <v>272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0"/>
      <c r="AD19" s="473">
        <v>1</v>
      </c>
      <c r="AE19" s="1411"/>
      <c r="AF19" s="1242" t="s">
        <v>56</v>
      </c>
      <c r="AG19" s="1410"/>
      <c r="AH19" s="473">
        <v>1</v>
      </c>
      <c r="AI19" s="1411"/>
      <c r="AJ19" s="1242" t="s">
        <v>56</v>
      </c>
      <c r="AK19" s="1412"/>
      <c r="AL19" s="473">
        <v>1</v>
      </c>
      <c r="AM19" s="1415"/>
      <c r="AN19" s="1318"/>
      <c r="AO19" s="1319"/>
      <c r="AP19" s="1645"/>
      <c r="AQ19" s="1372" t="s">
        <v>61</v>
      </c>
      <c r="AR19" s="1645"/>
      <c r="AS19" s="1372" t="s">
        <v>61</v>
      </c>
    </row>
    <row r="20" spans="1:52" ht="14.25" hidden="1" customHeight="1">
      <c r="AV20" s="422"/>
      <c r="AW20" s="422"/>
      <c r="AX20" s="422"/>
      <c r="AY20" s="422"/>
      <c r="AZ20" s="422"/>
    </row>
    <row r="21" spans="1:52" ht="14.25" hidden="1" customHeight="1">
      <c r="O21" s="1283" t="s">
        <v>534</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6441" customFormat="1" ht="14.25" hidden="1" customHeight="1">
      <c r="M23" s="1417"/>
      <c r="N23" s="1417"/>
      <c r="O23" s="1418" t="s">
        <v>535</v>
      </c>
      <c r="P23" s="1417"/>
      <c r="Q23" s="1419"/>
      <c r="R23" s="1419"/>
      <c r="Y23" s="1416" t="s">
        <v>537</v>
      </c>
      <c r="AA23" s="1416" t="s">
        <v>538</v>
      </c>
      <c r="AB23" s="1416" t="s">
        <v>587</v>
      </c>
      <c r="AE23" s="1416" t="s">
        <v>588</v>
      </c>
      <c r="AF23" s="1416" t="s">
        <v>587</v>
      </c>
      <c r="AI23" s="1416" t="s">
        <v>589</v>
      </c>
      <c r="AJ23" s="1416" t="s">
        <v>587</v>
      </c>
      <c r="AM23" s="1416" t="s">
        <v>590</v>
      </c>
      <c r="AQ23" s="1416" t="s">
        <v>537</v>
      </c>
      <c r="AS23" s="1416" t="s">
        <v>538</v>
      </c>
      <c r="AV23" s="1420"/>
      <c r="AW23" s="1420"/>
      <c r="AX23" s="1420"/>
      <c r="AY23" s="1420"/>
      <c r="AZ23" s="1420"/>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674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6747"/>
      <c r="U27" s="6747"/>
      <c r="V27" s="6747"/>
      <c r="W27" s="6747"/>
      <c r="X27" s="6747"/>
      <c r="Y27" s="6747"/>
      <c r="Z27" s="6747"/>
      <c r="AA27" s="6747"/>
      <c r="AB27" s="6747"/>
      <c r="AC27" s="6747"/>
      <c r="AD27" s="6747"/>
      <c r="AE27" s="6747"/>
      <c r="AF27" s="6747"/>
      <c r="AG27" s="6747"/>
      <c r="AH27" s="6747"/>
      <c r="AI27" s="6747"/>
      <c r="AJ27" s="6747"/>
      <c r="AK27" s="6747"/>
      <c r="AL27" s="6747"/>
      <c r="AM27" s="6747"/>
      <c r="AN27" s="6747"/>
      <c r="AO27" s="6747"/>
      <c r="AP27" s="6747"/>
      <c r="AQ27" s="6747"/>
      <c r="AR27" s="6747"/>
      <c r="AS27" s="1152"/>
    </row>
    <row r="28" spans="1:52" ht="14.25" customHeight="1">
      <c r="Q28" s="210"/>
      <c r="R28" s="305"/>
      <c r="S28" s="6694" t="str">
        <f>IF(org=0,"Не определено",org)</f>
        <v>ООО "Марикоммунэнерго"</v>
      </c>
      <c r="T28" s="6694"/>
      <c r="U28" s="6694"/>
      <c r="V28" s="6694"/>
      <c r="W28" s="6694"/>
      <c r="X28" s="6694"/>
      <c r="Y28" s="6694"/>
      <c r="Z28" s="6694"/>
      <c r="AA28" s="6694"/>
      <c r="AB28" s="6694"/>
      <c r="AC28" s="6694"/>
      <c r="AD28" s="6694"/>
      <c r="AE28" s="6694"/>
      <c r="AF28" s="6694"/>
      <c r="AG28" s="6694"/>
      <c r="AH28" s="6694"/>
      <c r="AI28" s="6694"/>
      <c r="AJ28" s="6694"/>
      <c r="AK28" s="6694"/>
      <c r="AL28" s="6694"/>
      <c r="AM28" s="6694"/>
      <c r="AN28" s="6694"/>
      <c r="AO28" s="6694"/>
      <c r="AP28" s="6694"/>
      <c r="AQ28" s="6694"/>
      <c r="AR28" s="6694"/>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2072" customFormat="1" ht="25.5" customHeight="1">
      <c r="A30" s="1284"/>
      <c r="B30" s="1284"/>
      <c r="C30" s="1284"/>
      <c r="D30" s="1284"/>
      <c r="E30" s="1284"/>
      <c r="F30" s="1284"/>
      <c r="G30" s="1284"/>
      <c r="H30" s="1284"/>
      <c r="I30" s="1284"/>
      <c r="J30" s="1284"/>
      <c r="K30" s="1284"/>
      <c r="L30" s="1285"/>
      <c r="M30" s="1284"/>
      <c r="N30" s="1284"/>
      <c r="O30" s="1284"/>
      <c r="P30" s="1284"/>
      <c r="Q30" s="1284"/>
      <c r="S30" s="6755" t="s">
        <v>38</v>
      </c>
      <c r="T30" s="6755"/>
      <c r="U30" s="1288"/>
      <c r="V30" s="6756" t="str">
        <f>IF(TITLE_NAME_OR_PR_CHANGE="",IF(TITLE_NAME_OR_PR="","",TITLE_NAME_OR_PR),TITLE_NAME_OR_PR_CHANGE)</f>
        <v>Министерство промышленности, экономического развития и торговли Республики Марий Эл</v>
      </c>
      <c r="W30" s="6756"/>
      <c r="X30" s="6756"/>
      <c r="Y30" s="6756"/>
      <c r="Z30" s="6756"/>
      <c r="AA30" s="253"/>
      <c r="AB30" s="6756" t="str">
        <f>IF(TITLE_NAME_OR_PR_CHANGE="",IF(TITLE_NAME_OR_PR="","",TITLE_NAME_OR_PR),TITLE_NAME_OR_PR_CHANGE)</f>
        <v>Министерство промышленности, экономического развития и торговли Республики Марий Эл</v>
      </c>
      <c r="AC30" s="6756"/>
      <c r="AD30" s="6756"/>
      <c r="AE30" s="6756"/>
      <c r="AF30" s="6756"/>
      <c r="AG30" s="6756"/>
      <c r="AH30" s="6756"/>
      <c r="AI30" s="6756"/>
      <c r="AJ30" s="6756"/>
      <c r="AK30" s="6756"/>
      <c r="AL30" s="6756"/>
      <c r="AM30" s="6756"/>
      <c r="AN30" s="6756"/>
      <c r="AO30" s="6756"/>
      <c r="AP30" s="6756"/>
      <c r="AQ30" s="6756"/>
      <c r="AR30" s="6756"/>
      <c r="AS30" s="253"/>
      <c r="AT30" s="253"/>
      <c r="AU30" s="200"/>
      <c r="AV30" s="296"/>
      <c r="AW30" s="296"/>
      <c r="AX30" s="296"/>
      <c r="AY30" s="296"/>
      <c r="AZ30" s="296"/>
    </row>
    <row r="31" spans="1:52" s="2072" customFormat="1" ht="18.75" customHeight="1">
      <c r="A31" s="1284"/>
      <c r="B31" s="1284"/>
      <c r="C31" s="1284"/>
      <c r="D31" s="1284"/>
      <c r="E31" s="1284"/>
      <c r="F31" s="1284"/>
      <c r="G31" s="1284"/>
      <c r="H31" s="1284"/>
      <c r="I31" s="1284"/>
      <c r="J31" s="1284"/>
      <c r="K31" s="1284"/>
      <c r="L31" s="1285"/>
      <c r="M31" s="1284"/>
      <c r="N31" s="1284"/>
      <c r="O31" s="1284"/>
      <c r="P31" s="1284"/>
      <c r="Q31" s="1284"/>
      <c r="S31" s="6755" t="s">
        <v>540</v>
      </c>
      <c r="T31" s="6755"/>
      <c r="U31" s="1288"/>
      <c r="V31" s="6765">
        <f>IF(TITLE_DATE_PR_CHANGE="",IF(TITLE_DATE_PR="","",TITLE_DATE_PR),TITLE_DATE_PR_CHANGE)</f>
        <v>45280.426180555558</v>
      </c>
      <c r="W31" s="6765"/>
      <c r="X31" s="6765"/>
      <c r="Y31" s="6765"/>
      <c r="Z31" s="6765"/>
      <c r="AA31" s="253"/>
      <c r="AB31" s="6765">
        <f>IF(TITLE_DATE_PR_CHANGE="",IF(TITLE_DATE_PR="","",TITLE_DATE_PR),TITLE_DATE_PR_CHANGE)</f>
        <v>45280.426180555558</v>
      </c>
      <c r="AC31" s="6765"/>
      <c r="AD31" s="6765"/>
      <c r="AE31" s="6765"/>
      <c r="AF31" s="6765"/>
      <c r="AG31" s="6765"/>
      <c r="AH31" s="6765"/>
      <c r="AI31" s="6765"/>
      <c r="AJ31" s="6765"/>
      <c r="AK31" s="6765"/>
      <c r="AL31" s="6765"/>
      <c r="AM31" s="6765"/>
      <c r="AN31" s="6765"/>
      <c r="AO31" s="6765"/>
      <c r="AP31" s="6765"/>
      <c r="AQ31" s="6765"/>
      <c r="AR31" s="6765"/>
      <c r="AS31" s="253"/>
      <c r="AT31" s="253"/>
      <c r="AU31" s="200"/>
      <c r="AV31" s="296"/>
      <c r="AW31" s="296"/>
      <c r="AX31" s="296"/>
      <c r="AY31" s="296"/>
      <c r="AZ31" s="296"/>
    </row>
    <row r="32" spans="1:52" s="2072" customFormat="1" ht="18.75" customHeight="1">
      <c r="A32" s="1284"/>
      <c r="B32" s="1284"/>
      <c r="C32" s="1284"/>
      <c r="D32" s="1284"/>
      <c r="E32" s="1284"/>
      <c r="F32" s="1284"/>
      <c r="G32" s="1284"/>
      <c r="H32" s="1284"/>
      <c r="I32" s="1284"/>
      <c r="J32" s="1284"/>
      <c r="K32" s="1284"/>
      <c r="L32" s="1285"/>
      <c r="M32" s="1284"/>
      <c r="N32" s="1284"/>
      <c r="O32" s="1284"/>
      <c r="P32" s="1284"/>
      <c r="Q32" s="1284"/>
      <c r="S32" s="6755" t="s">
        <v>541</v>
      </c>
      <c r="T32" s="6755"/>
      <c r="U32" s="1288"/>
      <c r="V32" s="6756" t="str">
        <f>IF(TITLE_NUMBER_PR_CHANGE="",IF(TITLE_NUMBER_PR="","",TITLE_NUMBER_PR),TITLE_NUMBER_PR_CHANGE)</f>
        <v>124 т, 125 т, 126 т, 169 т</v>
      </c>
      <c r="W32" s="6756"/>
      <c r="X32" s="6756"/>
      <c r="Y32" s="6756"/>
      <c r="Z32" s="6756"/>
      <c r="AA32" s="253"/>
      <c r="AB32" s="6756" t="str">
        <f>IF(TITLE_NUMBER_PR_CHANGE="",IF(TITLE_NUMBER_PR="","",TITLE_NUMBER_PR),TITLE_NUMBER_PR_CHANGE)</f>
        <v>124 т, 125 т, 126 т, 169 т</v>
      </c>
      <c r="AC32" s="6756"/>
      <c r="AD32" s="6756"/>
      <c r="AE32" s="6756"/>
      <c r="AF32" s="6756"/>
      <c r="AG32" s="6756"/>
      <c r="AH32" s="6756"/>
      <c r="AI32" s="6756"/>
      <c r="AJ32" s="6756"/>
      <c r="AK32" s="6756"/>
      <c r="AL32" s="6756"/>
      <c r="AM32" s="6756"/>
      <c r="AN32" s="6756"/>
      <c r="AO32" s="6756"/>
      <c r="AP32" s="6756"/>
      <c r="AQ32" s="6756"/>
      <c r="AR32" s="6756"/>
      <c r="AS32" s="253"/>
      <c r="AT32" s="253"/>
      <c r="AU32" s="200"/>
      <c r="AV32" s="296"/>
      <c r="AW32" s="296"/>
      <c r="AX32" s="296"/>
      <c r="AY32" s="296"/>
      <c r="AZ32" s="296"/>
    </row>
    <row r="33" spans="1:52" s="2072" customFormat="1" ht="18.75" customHeight="1">
      <c r="A33" s="1284"/>
      <c r="B33" s="1284"/>
      <c r="C33" s="1284"/>
      <c r="D33" s="1284"/>
      <c r="E33" s="1284"/>
      <c r="F33" s="1284"/>
      <c r="G33" s="1284"/>
      <c r="H33" s="1284"/>
      <c r="I33" s="1284"/>
      <c r="J33" s="1284"/>
      <c r="K33" s="1284"/>
      <c r="L33" s="1285"/>
      <c r="M33" s="1284"/>
      <c r="N33" s="1284"/>
      <c r="O33" s="1284"/>
      <c r="P33" s="1284"/>
      <c r="Q33" s="1284"/>
      <c r="S33" s="6755" t="s">
        <v>40</v>
      </c>
      <c r="T33" s="6755"/>
      <c r="U33" s="1288"/>
      <c r="V33" s="6756" t="str">
        <f>IF(TITLE_IST_PUB_CHANGE="",IF(TITLE_IST_PUB="","",TITLE_IST_PUB),TITLE_IST_PUB_CHANGE)</f>
        <v>портал Официальное опубликование нормативных правовых актов  Республики Марий Эл</v>
      </c>
      <c r="W33" s="6756"/>
      <c r="X33" s="6756"/>
      <c r="Y33" s="6756"/>
      <c r="Z33" s="6756"/>
      <c r="AA33" s="253"/>
      <c r="AB33" s="6756" t="str">
        <f>IF(TITLE_IST_PUB_CHANGE="",IF(TITLE_IST_PUB="","",TITLE_IST_PUB),TITLE_IST_PUB_CHANGE)</f>
        <v>портал Официальное опубликование нормативных правовых актов  Республики Марий Эл</v>
      </c>
      <c r="AC33" s="6756"/>
      <c r="AD33" s="6756"/>
      <c r="AE33" s="6756"/>
      <c r="AF33" s="6756"/>
      <c r="AG33" s="6756"/>
      <c r="AH33" s="6756"/>
      <c r="AI33" s="6756"/>
      <c r="AJ33" s="6756"/>
      <c r="AK33" s="6756"/>
      <c r="AL33" s="6756"/>
      <c r="AM33" s="6756"/>
      <c r="AN33" s="6756"/>
      <c r="AO33" s="6756"/>
      <c r="AP33" s="6756"/>
      <c r="AQ33" s="6756"/>
      <c r="AR33" s="6756"/>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2072" customFormat="1" ht="18.75" hidden="1" customHeight="1">
      <c r="A35" s="1284"/>
      <c r="B35" s="1284"/>
      <c r="C35" s="1284"/>
      <c r="D35" s="1284"/>
      <c r="E35" s="1284"/>
      <c r="F35" s="1284"/>
      <c r="G35" s="1284"/>
      <c r="H35" s="1284"/>
      <c r="I35" s="1284"/>
      <c r="J35" s="1284"/>
      <c r="K35" s="1284"/>
      <c r="L35" s="1285"/>
      <c r="M35" s="1284"/>
      <c r="N35" s="1284"/>
      <c r="O35" s="1284"/>
      <c r="P35" s="1284"/>
      <c r="Q35" s="1284"/>
      <c r="S35" s="6755" t="s">
        <v>540</v>
      </c>
      <c r="T35" s="6755"/>
      <c r="U35" s="1288"/>
      <c r="V35" s="6765">
        <f>IF(TITLE_DATE_PR_CHANGE="",IF(TITLE_DATE_PR="","",TITLE_DATE_PR),TITLE_DATE_PR_CHANGE)</f>
        <v>45280.426180555558</v>
      </c>
      <c r="W35" s="6765"/>
      <c r="X35" s="6765"/>
      <c r="Y35" s="6765"/>
      <c r="Z35" s="6765"/>
      <c r="AA35" s="253"/>
      <c r="AB35" s="6765">
        <f>IF(TITLE_DATE_PR_CHANGE="",IF(TITLE_DATE_PR="","",TITLE_DATE_PR),TITLE_DATE_PR_CHANGE)</f>
        <v>45280.426180555558</v>
      </c>
      <c r="AC35" s="6765"/>
      <c r="AD35" s="6765"/>
      <c r="AE35" s="6765"/>
      <c r="AF35" s="6765"/>
      <c r="AG35" s="6765"/>
      <c r="AH35" s="6765"/>
      <c r="AI35" s="6765"/>
      <c r="AJ35" s="6765"/>
      <c r="AK35" s="6765"/>
      <c r="AL35" s="6765"/>
      <c r="AM35" s="6765"/>
      <c r="AN35" s="6765"/>
      <c r="AO35" s="6765"/>
      <c r="AP35" s="6765"/>
      <c r="AQ35" s="6765"/>
      <c r="AR35" s="6765"/>
      <c r="AS35" s="253"/>
      <c r="AT35" s="253"/>
      <c r="AU35" s="200"/>
      <c r="AV35" s="296"/>
      <c r="AW35" s="296"/>
      <c r="AX35" s="296"/>
      <c r="AY35" s="296"/>
      <c r="AZ35" s="296"/>
    </row>
    <row r="36" spans="1:52" s="2072" customFormat="1" ht="18" hidden="1" customHeight="1">
      <c r="A36" s="1284"/>
      <c r="B36" s="1284"/>
      <c r="C36" s="1284"/>
      <c r="D36" s="1284"/>
      <c r="E36" s="1284"/>
      <c r="F36" s="1284"/>
      <c r="G36" s="1284"/>
      <c r="H36" s="1284"/>
      <c r="I36" s="1284"/>
      <c r="J36" s="1284"/>
      <c r="K36" s="1284"/>
      <c r="L36" s="1285"/>
      <c r="M36" s="1284"/>
      <c r="N36" s="1284"/>
      <c r="O36" s="1284"/>
      <c r="P36" s="1284"/>
      <c r="Q36" s="1284"/>
      <c r="S36" s="6755" t="s">
        <v>541</v>
      </c>
      <c r="T36" s="6755"/>
      <c r="U36" s="1288"/>
      <c r="V36" s="6756" t="str">
        <f>IF(TITLE_NUMBER_PR_CHANGE="",IF(TITLE_NUMBER_PR="","",TITLE_NUMBER_PR),TITLE_NUMBER_PR_CHANGE)</f>
        <v>124 т, 125 т, 126 т, 169 т</v>
      </c>
      <c r="W36" s="6756"/>
      <c r="X36" s="6756"/>
      <c r="Y36" s="6756"/>
      <c r="Z36" s="6756"/>
      <c r="AA36" s="253"/>
      <c r="AB36" s="6756" t="str">
        <f>IF(TITLE_NUMBER_PR_CHANGE="",IF(TITLE_NUMBER_PR="","",TITLE_NUMBER_PR),TITLE_NUMBER_PR_CHANGE)</f>
        <v>124 т, 125 т, 126 т, 169 т</v>
      </c>
      <c r="AC36" s="6756"/>
      <c r="AD36" s="6756"/>
      <c r="AE36" s="6756"/>
      <c r="AF36" s="6756"/>
      <c r="AG36" s="6756"/>
      <c r="AH36" s="6756"/>
      <c r="AI36" s="6756"/>
      <c r="AJ36" s="6756"/>
      <c r="AK36" s="6756"/>
      <c r="AL36" s="6756"/>
      <c r="AM36" s="6756"/>
      <c r="AN36" s="6756"/>
      <c r="AO36" s="6756"/>
      <c r="AP36" s="6756"/>
      <c r="AQ36" s="6756"/>
      <c r="AR36" s="6756"/>
      <c r="AS36" s="253"/>
      <c r="AT36" s="253"/>
      <c r="AU36" s="200"/>
      <c r="AV36" s="296"/>
      <c r="AW36" s="296"/>
      <c r="AX36" s="296"/>
      <c r="AY36" s="296"/>
      <c r="AZ36" s="296"/>
    </row>
    <row r="37" spans="1:52" s="2072"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544</v>
      </c>
      <c r="AB37" s="253"/>
      <c r="AC37" s="253"/>
      <c r="AD37" s="253"/>
      <c r="AE37" s="253"/>
      <c r="AF37" s="253"/>
      <c r="AG37" s="253"/>
      <c r="AH37" s="253"/>
      <c r="AI37" s="253"/>
      <c r="AJ37" s="253"/>
      <c r="AK37" s="253"/>
      <c r="AL37" s="253"/>
      <c r="AM37" s="253"/>
      <c r="AN37" s="253"/>
      <c r="AO37" s="253"/>
      <c r="AP37" s="253"/>
      <c r="AQ37" s="253"/>
      <c r="AR37" s="253"/>
      <c r="AS37" s="198" t="s">
        <v>544</v>
      </c>
      <c r="AV37" s="296"/>
      <c r="AW37" s="296"/>
      <c r="AX37" s="296"/>
      <c r="AY37" s="296"/>
      <c r="AZ37" s="296"/>
    </row>
    <row r="38" spans="1:52" ht="14.25" customHeight="1">
      <c r="Q38" s="210"/>
      <c r="R38" s="305"/>
      <c r="S38" s="1195"/>
      <c r="T38" s="290"/>
      <c r="U38" s="1153"/>
      <c r="V38" s="6757"/>
      <c r="W38" s="6757"/>
      <c r="X38" s="6757"/>
      <c r="Y38" s="6757"/>
      <c r="Z38" s="6757"/>
      <c r="AA38" s="6757"/>
      <c r="AB38" s="6757"/>
      <c r="AC38" s="6757"/>
      <c r="AD38" s="6757"/>
      <c r="AE38" s="6757"/>
      <c r="AF38" s="6757"/>
      <c r="AG38" s="6757"/>
      <c r="AH38" s="6757"/>
      <c r="AI38" s="6757"/>
      <c r="AJ38" s="6757"/>
      <c r="AK38" s="6757"/>
      <c r="AL38" s="6757"/>
      <c r="AM38" s="6757"/>
      <c r="AN38" s="6757"/>
      <c r="AO38" s="6757"/>
      <c r="AP38" s="6757"/>
      <c r="AQ38" s="6757"/>
      <c r="AR38" s="6757"/>
      <c r="AS38" s="6757"/>
    </row>
    <row r="39" spans="1:52" ht="14.25" customHeight="1">
      <c r="Q39" s="210"/>
      <c r="R39" s="305"/>
      <c r="S39" s="6629" t="s">
        <v>418</v>
      </c>
      <c r="T39" s="6629"/>
      <c r="U39" s="6629"/>
      <c r="V39" s="6629"/>
      <c r="W39" s="6629"/>
      <c r="X39" s="6629"/>
      <c r="Y39" s="6629"/>
      <c r="Z39" s="6629"/>
      <c r="AA39" s="6629"/>
      <c r="AB39" s="6693"/>
      <c r="AC39" s="6693"/>
      <c r="AD39" s="6693"/>
      <c r="AE39" s="6693"/>
      <c r="AF39" s="6629"/>
      <c r="AG39" s="6629"/>
      <c r="AH39" s="6629"/>
      <c r="AI39" s="6629"/>
      <c r="AJ39" s="6629"/>
      <c r="AK39" s="6629"/>
      <c r="AL39" s="6629"/>
      <c r="AM39" s="6629"/>
      <c r="AN39" s="6629"/>
      <c r="AO39" s="6629"/>
      <c r="AP39" s="6629"/>
      <c r="AQ39" s="6629"/>
      <c r="AR39" s="6629"/>
      <c r="AS39" s="6629"/>
      <c r="AT39" s="6629"/>
      <c r="AU39" s="6629" t="s">
        <v>419</v>
      </c>
    </row>
    <row r="40" spans="1:52" ht="14.25" customHeight="1">
      <c r="Q40" s="210"/>
      <c r="R40" s="305"/>
      <c r="S40" s="6771" t="s">
        <v>87</v>
      </c>
      <c r="T40" s="6723" t="s">
        <v>591</v>
      </c>
      <c r="U40" s="220"/>
      <c r="V40" s="6773"/>
      <c r="W40" s="6773"/>
      <c r="X40" s="6773"/>
      <c r="Y40" s="6773"/>
      <c r="Z40" s="6774"/>
      <c r="AA40" s="6809" t="s">
        <v>547</v>
      </c>
      <c r="AB40" s="6801" t="s">
        <v>592</v>
      </c>
      <c r="AC40" s="6787"/>
      <c r="AD40" s="6787"/>
      <c r="AE40" s="6802"/>
      <c r="AF40" s="6787" t="s">
        <v>593</v>
      </c>
      <c r="AG40" s="6787"/>
      <c r="AH40" s="6787"/>
      <c r="AI40" s="6802"/>
      <c r="AJ40" s="6801" t="s">
        <v>594</v>
      </c>
      <c r="AK40" s="6787"/>
      <c r="AL40" s="6787"/>
      <c r="AM40" s="6802"/>
      <c r="AN40" s="6801" t="s">
        <v>546</v>
      </c>
      <c r="AO40" s="6787"/>
      <c r="AP40" s="6773"/>
      <c r="AQ40" s="6773"/>
      <c r="AR40" s="6774"/>
      <c r="AS40" s="6775" t="s">
        <v>547</v>
      </c>
      <c r="AT40" s="6778" t="s">
        <v>549</v>
      </c>
      <c r="AU40" s="6629"/>
    </row>
    <row r="41" spans="1:52" ht="33.75" customHeight="1">
      <c r="Q41" s="210"/>
      <c r="R41" s="305"/>
      <c r="S41" s="6771"/>
      <c r="T41" s="6723"/>
      <c r="U41" s="938"/>
      <c r="V41" s="6708" t="s">
        <v>595</v>
      </c>
      <c r="W41" s="6709"/>
      <c r="X41" s="6708" t="s">
        <v>553</v>
      </c>
      <c r="Y41" s="6796"/>
      <c r="Z41" s="6709"/>
      <c r="AA41" s="6810"/>
      <c r="AB41" s="6803"/>
      <c r="AC41" s="6804"/>
      <c r="AD41" s="6804"/>
      <c r="AE41" s="6805"/>
      <c r="AF41" s="6804"/>
      <c r="AG41" s="6804"/>
      <c r="AH41" s="6804"/>
      <c r="AI41" s="6805"/>
      <c r="AJ41" s="6803"/>
      <c r="AK41" s="6804"/>
      <c r="AL41" s="6804"/>
      <c r="AM41" s="6804"/>
      <c r="AN41" s="6629" t="s">
        <v>596</v>
      </c>
      <c r="AO41" s="6629"/>
      <c r="AP41" s="6796" t="s">
        <v>553</v>
      </c>
      <c r="AQ41" s="6796"/>
      <c r="AR41" s="6709"/>
      <c r="AS41" s="6776"/>
      <c r="AT41" s="6779"/>
      <c r="AU41" s="6629"/>
    </row>
    <row r="42" spans="1:52" ht="14.25" customHeight="1">
      <c r="Q42" s="210"/>
      <c r="R42" s="305"/>
      <c r="S42" s="6771"/>
      <c r="T42" s="6723"/>
      <c r="U42" s="938"/>
      <c r="V42" s="6713"/>
      <c r="W42" s="6714"/>
      <c r="X42" s="6713"/>
      <c r="Y42" s="6797"/>
      <c r="Z42" s="6714"/>
      <c r="AA42" s="6810"/>
      <c r="AB42" s="6803"/>
      <c r="AC42" s="6804"/>
      <c r="AD42" s="6804"/>
      <c r="AE42" s="6805"/>
      <c r="AF42" s="6804"/>
      <c r="AG42" s="6804"/>
      <c r="AH42" s="6804"/>
      <c r="AI42" s="6805"/>
      <c r="AJ42" s="6803"/>
      <c r="AK42" s="6804"/>
      <c r="AL42" s="6804"/>
      <c r="AM42" s="6804"/>
      <c r="AN42" s="6812" t="s">
        <v>597</v>
      </c>
      <c r="AO42" s="6812"/>
      <c r="AP42" s="6797"/>
      <c r="AQ42" s="6797"/>
      <c r="AR42" s="6714"/>
      <c r="AS42" s="6776"/>
      <c r="AT42" s="6779"/>
      <c r="AU42" s="6629"/>
    </row>
    <row r="43" spans="1:52" ht="14.25" customHeight="1">
      <c r="A43" s="1286"/>
      <c r="B43" s="1286" t="s">
        <v>201</v>
      </c>
      <c r="C43" s="1286" t="s">
        <v>202</v>
      </c>
      <c r="D43" s="1286" t="s">
        <v>203</v>
      </c>
      <c r="E43" s="1280" t="s">
        <v>554</v>
      </c>
      <c r="F43" s="1280" t="s">
        <v>555</v>
      </c>
      <c r="G43" s="1280" t="s">
        <v>556</v>
      </c>
      <c r="H43" s="1280" t="s">
        <v>557</v>
      </c>
      <c r="I43" s="1280" t="s">
        <v>558</v>
      </c>
      <c r="J43" s="1280" t="s">
        <v>559</v>
      </c>
      <c r="K43" s="1280" t="s">
        <v>560</v>
      </c>
      <c r="L43" s="1280" t="s">
        <v>535</v>
      </c>
      <c r="Q43" s="210"/>
      <c r="R43" s="305"/>
      <c r="S43" s="6771"/>
      <c r="T43" s="6723"/>
      <c r="U43" s="221"/>
      <c r="V43" s="1247" t="s">
        <v>598</v>
      </c>
      <c r="W43" s="1247" t="s">
        <v>599</v>
      </c>
      <c r="X43" s="1255" t="s">
        <v>563</v>
      </c>
      <c r="Y43" s="6731" t="s">
        <v>564</v>
      </c>
      <c r="Z43" s="6733"/>
      <c r="AA43" s="6811"/>
      <c r="AB43" s="6806"/>
      <c r="AC43" s="6807"/>
      <c r="AD43" s="6807"/>
      <c r="AE43" s="6808"/>
      <c r="AF43" s="6807"/>
      <c r="AG43" s="6807"/>
      <c r="AH43" s="6807"/>
      <c r="AI43" s="6808"/>
      <c r="AJ43" s="6806"/>
      <c r="AK43" s="6807"/>
      <c r="AL43" s="6807"/>
      <c r="AM43" s="6808"/>
      <c r="AN43" s="1769" t="s">
        <v>598</v>
      </c>
      <c r="AO43" s="1769" t="s">
        <v>599</v>
      </c>
      <c r="AP43" s="1255" t="s">
        <v>563</v>
      </c>
      <c r="AQ43" s="6731" t="s">
        <v>564</v>
      </c>
      <c r="AR43" s="6733"/>
      <c r="AS43" s="6777"/>
      <c r="AT43" s="6780"/>
      <c r="AU43" s="6629"/>
    </row>
    <row r="44" spans="1:52" s="1816"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178</v>
      </c>
      <c r="T44" s="1172" t="s">
        <v>98</v>
      </c>
      <c r="U44" s="1154" t="str">
        <f ca="1">OFFSET(U44,0,-1)</f>
        <v>2</v>
      </c>
      <c r="V44" s="1252">
        <f ca="1">OFFSET(V44,0,-1)+1</f>
        <v>3</v>
      </c>
      <c r="W44" s="1252">
        <f ca="1">OFFSET(W44,0,-1)+1</f>
        <v>4</v>
      </c>
      <c r="X44" s="1252">
        <f ca="1">OFFSET(X44,0,-1)+1</f>
        <v>5</v>
      </c>
      <c r="Y44" s="6770">
        <f ca="1">OFFSET(Y44,0,-1)+1</f>
        <v>6</v>
      </c>
      <c r="Z44" s="6770"/>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6770">
        <f ca="1">OFFSET(AQ44,0,-1)+1</f>
        <v>4</v>
      </c>
      <c r="AR44" s="6770"/>
      <c r="AS44" s="1252">
        <f ca="1">OFFSET(AS44,0,-2)+1</f>
        <v>5</v>
      </c>
      <c r="AT44" s="1154">
        <f ca="1">OFFSET(AT44,0,-1)</f>
        <v>5</v>
      </c>
      <c r="AU44" s="1252">
        <f ca="1">OFFSET(AU44,0,-1)+1</f>
        <v>6</v>
      </c>
      <c r="AV44" s="437"/>
      <c r="AW44" s="437"/>
      <c r="AX44" s="437"/>
      <c r="AY44" s="437"/>
      <c r="AZ44" s="437"/>
    </row>
    <row r="45" spans="1:52" ht="102" customHeight="1">
      <c r="A45" s="1279" t="s">
        <v>330</v>
      </c>
      <c r="B45" s="1279"/>
      <c r="C45" s="1279"/>
      <c r="D45" s="1279"/>
      <c r="E45" s="6763">
        <v>1</v>
      </c>
      <c r="F45" s="1279"/>
      <c r="G45" s="1279"/>
      <c r="H45" s="1279"/>
      <c r="I45" s="1279"/>
      <c r="J45" s="1279"/>
      <c r="K45" s="1279"/>
      <c r="L45" s="1280"/>
      <c r="M45" s="1281"/>
      <c r="N45" s="1281"/>
      <c r="O45" s="1281"/>
      <c r="P45" s="1324"/>
      <c r="Q45" s="786"/>
      <c r="R45" s="280"/>
      <c r="S45" s="1253">
        <f>INDEX(PT_DIFFERENTIATION_NUM_NTAR,MATCH(A45,PT_DIFFERENTIATION_NTAR_ID,0))</f>
        <v>1</v>
      </c>
      <c r="T45" s="217" t="s">
        <v>189</v>
      </c>
      <c r="U45" s="219"/>
      <c r="V45" s="6750"/>
      <c r="W45" s="6750"/>
      <c r="X45" s="6750"/>
      <c r="Y45" s="6750"/>
      <c r="Z45" s="6750"/>
      <c r="AA45" s="6751"/>
      <c r="AB45" s="6749" t="str">
        <f>INDEX(PT_DIFFERENTIATION_NTAR,MATCH(A45,PT_DIFFERENTIATION_NTAR_ID,0))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AC45" s="6750"/>
      <c r="AD45" s="6750"/>
      <c r="AE45" s="6750"/>
      <c r="AF45" s="6750"/>
      <c r="AG45" s="6750"/>
      <c r="AH45" s="6750"/>
      <c r="AI45" s="6750"/>
      <c r="AJ45" s="6750"/>
      <c r="AK45" s="6750"/>
      <c r="AL45" s="6750"/>
      <c r="AM45" s="6750"/>
      <c r="AN45" s="6750"/>
      <c r="AO45" s="6750"/>
      <c r="AP45" s="6750"/>
      <c r="AQ45" s="6750"/>
      <c r="AR45" s="6750"/>
      <c r="AS45" s="6750"/>
      <c r="AT45" s="675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330</v>
      </c>
      <c r="B46" s="1279" t="s">
        <v>331</v>
      </c>
      <c r="C46" s="1279"/>
      <c r="D46" s="1279"/>
      <c r="E46" s="6764"/>
      <c r="F46" s="6763">
        <v>1</v>
      </c>
      <c r="G46" s="1279"/>
      <c r="H46" s="1279"/>
      <c r="I46" s="1279"/>
      <c r="J46" s="1279"/>
      <c r="K46" s="1279"/>
      <c r="L46" s="1280"/>
      <c r="M46" s="1281"/>
      <c r="N46" s="1281"/>
      <c r="O46" s="1281"/>
      <c r="P46" s="1325"/>
      <c r="Q46" s="1326"/>
      <c r="R46" s="278"/>
      <c r="S46" s="1253" t="str">
        <f>INDEX(PT_DIFFERENTIATION_NUM_TER,MATCH(B46,PT_DIFFERENTIATION_TER_ID,0))</f>
        <v>1.1</v>
      </c>
      <c r="T46" s="229" t="s">
        <v>517</v>
      </c>
      <c r="U46" s="219"/>
      <c r="V46" s="6750"/>
      <c r="W46" s="6750"/>
      <c r="X46" s="6750"/>
      <c r="Y46" s="6750"/>
      <c r="Z46" s="6750"/>
      <c r="AA46" s="6751"/>
      <c r="AB46" s="6749" t="str">
        <f>INDEX(PT_DIFFERENTIATION_TER,MATCH(B46,PT_DIFFERENTIATION_TER_ID,0))</f>
        <v>без дифференциации</v>
      </c>
      <c r="AC46" s="6750"/>
      <c r="AD46" s="6750"/>
      <c r="AE46" s="6750"/>
      <c r="AF46" s="6750"/>
      <c r="AG46" s="6750"/>
      <c r="AH46" s="6750"/>
      <c r="AI46" s="6750"/>
      <c r="AJ46" s="6750"/>
      <c r="AK46" s="6750"/>
      <c r="AL46" s="6750"/>
      <c r="AM46" s="6750"/>
      <c r="AN46" s="6750"/>
      <c r="AO46" s="6750"/>
      <c r="AP46" s="6750"/>
      <c r="AQ46" s="6750"/>
      <c r="AR46" s="6750"/>
      <c r="AS46" s="6750"/>
      <c r="AT46" s="6751"/>
      <c r="AU46" s="1177" t="s">
        <v>518</v>
      </c>
      <c r="AW46" s="426"/>
      <c r="AX46" s="426" t="str">
        <f t="shared" si="2"/>
        <v>Территория действия тарифа</v>
      </c>
      <c r="AY46" s="426"/>
      <c r="AZ46" s="426"/>
    </row>
    <row r="47" spans="1:52" ht="23.25" customHeight="1">
      <c r="A47" s="1279" t="s">
        <v>330</v>
      </c>
      <c r="B47" s="1279" t="s">
        <v>331</v>
      </c>
      <c r="C47" s="1279" t="s">
        <v>332</v>
      </c>
      <c r="D47" s="1279"/>
      <c r="E47" s="6764"/>
      <c r="F47" s="6764"/>
      <c r="G47" s="6763">
        <v>1</v>
      </c>
      <c r="H47" s="1279"/>
      <c r="I47" s="1279"/>
      <c r="J47" s="1279"/>
      <c r="K47" s="1279"/>
      <c r="L47" s="1280"/>
      <c r="M47" s="1281"/>
      <c r="N47" s="1281"/>
      <c r="O47" s="1281"/>
      <c r="P47" s="1327"/>
      <c r="Q47" s="1326"/>
      <c r="R47" s="278"/>
      <c r="S47" s="1253" t="str">
        <f>INDEX(PT_DIFFERENTIATION_NUM_CS,MATCH(C47,PT_DIFFERENTIATION_CS_ID,0))</f>
        <v>1.1.1</v>
      </c>
      <c r="T47" s="230" t="s">
        <v>519</v>
      </c>
      <c r="U47" s="219"/>
      <c r="V47" s="6750"/>
      <c r="W47" s="6750"/>
      <c r="X47" s="6750"/>
      <c r="Y47" s="6750"/>
      <c r="Z47" s="6750"/>
      <c r="AA47" s="6751"/>
      <c r="AB47" s="6749" t="str">
        <f>INDEX(PT_DIFFERENTIATION_CS,MATCH(C47,PT_DIFFERENTIATION_CS_ID,0))</f>
        <v>без дифференциации</v>
      </c>
      <c r="AC47" s="6750"/>
      <c r="AD47" s="6750"/>
      <c r="AE47" s="6750"/>
      <c r="AF47" s="6750"/>
      <c r="AG47" s="6750"/>
      <c r="AH47" s="6750"/>
      <c r="AI47" s="6750"/>
      <c r="AJ47" s="6750"/>
      <c r="AK47" s="6750"/>
      <c r="AL47" s="6750"/>
      <c r="AM47" s="6750"/>
      <c r="AN47" s="6750"/>
      <c r="AO47" s="6750"/>
      <c r="AP47" s="6750"/>
      <c r="AQ47" s="6750"/>
      <c r="AR47" s="6750"/>
      <c r="AS47" s="6750"/>
      <c r="AT47" s="6751"/>
      <c r="AU47" s="1177" t="s">
        <v>520</v>
      </c>
      <c r="AW47" s="426"/>
      <c r="AX47" s="426" t="str">
        <f t="shared" si="2"/>
        <v xml:space="preserve">Наименование системы теплоснабжения </v>
      </c>
      <c r="AY47" s="426"/>
      <c r="AZ47" s="426"/>
    </row>
    <row r="48" spans="1:52" ht="21" customHeight="1">
      <c r="A48" s="1279" t="s">
        <v>330</v>
      </c>
      <c r="B48" s="1279" t="s">
        <v>331</v>
      </c>
      <c r="C48" s="1279" t="s">
        <v>332</v>
      </c>
      <c r="D48" s="1279" t="s">
        <v>333</v>
      </c>
      <c r="E48" s="6764"/>
      <c r="F48" s="6764"/>
      <c r="G48" s="6764"/>
      <c r="H48" s="6763">
        <v>1</v>
      </c>
      <c r="I48" s="1279"/>
      <c r="J48" s="1279"/>
      <c r="K48" s="1279"/>
      <c r="L48" s="1280"/>
      <c r="M48" s="1281"/>
      <c r="N48" s="1281"/>
      <c r="O48" s="1281"/>
      <c r="P48" s="1327"/>
      <c r="Q48" s="1326"/>
      <c r="R48" s="278"/>
      <c r="S48" s="1253" t="str">
        <f>INDEX(PT_DIFFERENTIATION_NUM_IST_TE,MATCH(D48,PT_DIFFERENTIATION_IST_TE_ID,0))</f>
        <v>1.1.1.1</v>
      </c>
      <c r="T48" s="231" t="s">
        <v>521</v>
      </c>
      <c r="U48" s="219"/>
      <c r="V48" s="6750"/>
      <c r="W48" s="6750"/>
      <c r="X48" s="6750"/>
      <c r="Y48" s="6750"/>
      <c r="Z48" s="6750"/>
      <c r="AA48" s="6751"/>
      <c r="AB48" s="6749" t="str">
        <f>INDEX(PT_DIFFERENTIATION_IST_TE,MATCH(D48,PT_DIFFERENTIATION_IST_TE_ID,0))</f>
        <v>без дифференциации</v>
      </c>
      <c r="AC48" s="6750"/>
      <c r="AD48" s="6750"/>
      <c r="AE48" s="6750"/>
      <c r="AF48" s="6750"/>
      <c r="AG48" s="6750"/>
      <c r="AH48" s="6750"/>
      <c r="AI48" s="6750"/>
      <c r="AJ48" s="6750"/>
      <c r="AK48" s="6750"/>
      <c r="AL48" s="6750"/>
      <c r="AM48" s="6750"/>
      <c r="AN48" s="6750"/>
      <c r="AO48" s="6750"/>
      <c r="AP48" s="6750"/>
      <c r="AQ48" s="6750"/>
      <c r="AR48" s="6750"/>
      <c r="AS48" s="6750"/>
      <c r="AT48" s="6751"/>
      <c r="AU48" s="1177" t="s">
        <v>522</v>
      </c>
      <c r="AW48" s="426"/>
      <c r="AX48" s="426" t="str">
        <f t="shared" si="2"/>
        <v xml:space="preserve">Источник тепловой энергии  </v>
      </c>
      <c r="AY48" s="426"/>
      <c r="AZ48" s="426"/>
    </row>
    <row r="49" spans="1:52" s="1817" customFormat="1" ht="0" hidden="1" customHeight="1">
      <c r="A49" s="1260" t="s">
        <v>330</v>
      </c>
      <c r="B49" s="1260" t="s">
        <v>331</v>
      </c>
      <c r="C49" s="1260" t="s">
        <v>332</v>
      </c>
      <c r="D49" s="1260" t="s">
        <v>333</v>
      </c>
      <c r="E49" s="6764"/>
      <c r="F49" s="6764"/>
      <c r="G49" s="6764"/>
      <c r="H49" s="6764"/>
      <c r="I49" s="6761" t="str">
        <f>S48&amp;".1"</f>
        <v>1.1.1.1.1</v>
      </c>
      <c r="J49" s="1260"/>
      <c r="K49" s="1260"/>
      <c r="L49" s="1263" t="s">
        <v>523</v>
      </c>
      <c r="M49" s="436"/>
      <c r="N49" s="436"/>
      <c r="O49" s="436"/>
      <c r="P49" s="6762">
        <v>1</v>
      </c>
      <c r="Q49" s="1248"/>
      <c r="R49" s="281"/>
      <c r="S49" s="949"/>
      <c r="T49" s="1299"/>
      <c r="U49" s="1300"/>
      <c r="V49" s="6791"/>
      <c r="W49" s="6791"/>
      <c r="X49" s="6791"/>
      <c r="Y49" s="6791"/>
      <c r="Z49" s="6791"/>
      <c r="AA49" s="6792"/>
      <c r="AB49" s="6790"/>
      <c r="AC49" s="6791"/>
      <c r="AD49" s="6791"/>
      <c r="AE49" s="6791"/>
      <c r="AF49" s="6791"/>
      <c r="AG49" s="6791"/>
      <c r="AH49" s="6791"/>
      <c r="AI49" s="6791"/>
      <c r="AJ49" s="6791"/>
      <c r="AK49" s="6791"/>
      <c r="AL49" s="6791"/>
      <c r="AM49" s="6791"/>
      <c r="AN49" s="6791"/>
      <c r="AO49" s="6791"/>
      <c r="AP49" s="6791"/>
      <c r="AQ49" s="6791"/>
      <c r="AR49" s="6791"/>
      <c r="AS49" s="6791"/>
      <c r="AT49" s="6792"/>
      <c r="AU49" s="1301"/>
      <c r="AW49" s="426"/>
      <c r="AX49" s="426" t="str">
        <f t="shared" si="2"/>
        <v/>
      </c>
      <c r="AY49" s="426"/>
      <c r="AZ49" s="426"/>
    </row>
    <row r="50" spans="1:52" s="1817" customFormat="1" ht="0" hidden="1" customHeight="1">
      <c r="A50" s="1260" t="s">
        <v>330</v>
      </c>
      <c r="B50" s="1260" t="s">
        <v>331</v>
      </c>
      <c r="C50" s="1260" t="s">
        <v>332</v>
      </c>
      <c r="D50" s="1260" t="s">
        <v>333</v>
      </c>
      <c r="E50" s="6764"/>
      <c r="F50" s="6764"/>
      <c r="G50" s="6764"/>
      <c r="H50" s="6764"/>
      <c r="I50" s="6784"/>
      <c r="J50" s="6761" t="str">
        <f>S48&amp;".1"</f>
        <v>1.1.1.1.1</v>
      </c>
      <c r="K50" s="1260"/>
      <c r="L50" s="1263"/>
      <c r="M50" s="436"/>
      <c r="N50" s="436"/>
      <c r="O50" s="436"/>
      <c r="P50" s="6762"/>
      <c r="Q50" s="6762">
        <v>1</v>
      </c>
      <c r="R50" s="282"/>
      <c r="S50" s="949"/>
      <c r="T50" s="1315"/>
      <c r="U50" s="1300"/>
      <c r="V50" s="6791"/>
      <c r="W50" s="6791"/>
      <c r="X50" s="6791"/>
      <c r="Y50" s="6791"/>
      <c r="Z50" s="6791"/>
      <c r="AA50" s="6792"/>
      <c r="AB50" s="6790"/>
      <c r="AC50" s="6791"/>
      <c r="AD50" s="6791"/>
      <c r="AE50" s="6791"/>
      <c r="AF50" s="6791"/>
      <c r="AG50" s="6791"/>
      <c r="AH50" s="6791"/>
      <c r="AI50" s="6791"/>
      <c r="AJ50" s="6791"/>
      <c r="AK50" s="6791"/>
      <c r="AL50" s="6791"/>
      <c r="AM50" s="6791"/>
      <c r="AN50" s="6791"/>
      <c r="AO50" s="6791"/>
      <c r="AP50" s="6791"/>
      <c r="AQ50" s="6791"/>
      <c r="AR50" s="6791"/>
      <c r="AS50" s="6791"/>
      <c r="AT50" s="6792"/>
      <c r="AU50" s="1301"/>
      <c r="AW50" s="426"/>
      <c r="AX50" s="426" t="str">
        <f t="shared" si="2"/>
        <v/>
      </c>
      <c r="AY50" s="426"/>
      <c r="AZ50" s="426"/>
    </row>
    <row r="51" spans="1:52" ht="21" customHeight="1">
      <c r="A51" s="1279" t="s">
        <v>330</v>
      </c>
      <c r="B51" s="1279" t="s">
        <v>331</v>
      </c>
      <c r="C51" s="1279" t="s">
        <v>332</v>
      </c>
      <c r="D51" s="1279" t="s">
        <v>333</v>
      </c>
      <c r="E51" s="6764"/>
      <c r="F51" s="6764"/>
      <c r="G51" s="6764"/>
      <c r="H51" s="6764"/>
      <c r="I51" s="6784"/>
      <c r="J51" s="6784"/>
      <c r="K51" s="6761" t="str">
        <f>S48&amp;".1"</f>
        <v>1.1.1.1.1</v>
      </c>
      <c r="L51" s="1280"/>
      <c r="P51" s="6762"/>
      <c r="Q51" s="6762"/>
      <c r="R51" s="282">
        <v>1</v>
      </c>
      <c r="S51" s="6813" t="str">
        <f>$K51</f>
        <v>1.1.1.1.1</v>
      </c>
      <c r="T51" s="6816" t="s">
        <v>600</v>
      </c>
      <c r="U51" s="219"/>
      <c r="V51" s="668"/>
      <c r="W51" s="1176"/>
      <c r="X51" s="1643"/>
      <c r="Y51" s="1371" t="s">
        <v>61</v>
      </c>
      <c r="Z51" s="1643"/>
      <c r="AA51" s="1371" t="s">
        <v>61</v>
      </c>
      <c r="AB51" s="6610" t="s">
        <v>56</v>
      </c>
      <c r="AC51" s="6799"/>
      <c r="AD51" s="6718">
        <v>1</v>
      </c>
      <c r="AE51" s="6821" t="s">
        <v>24</v>
      </c>
      <c r="AF51" s="6610" t="s">
        <v>61</v>
      </c>
      <c r="AG51" s="6799"/>
      <c r="AH51" s="6718">
        <v>1</v>
      </c>
      <c r="AI51" s="6820" t="s">
        <v>601</v>
      </c>
      <c r="AJ51" s="6610" t="s">
        <v>61</v>
      </c>
      <c r="AK51" s="232"/>
      <c r="AL51" s="1254">
        <v>1</v>
      </c>
      <c r="AM51" s="6442" t="s">
        <v>602</v>
      </c>
      <c r="AN51" s="668"/>
      <c r="AO51" s="1176">
        <v>1690.39</v>
      </c>
      <c r="AP51" s="2081">
        <v>45292.766562500001</v>
      </c>
      <c r="AQ51" s="1371" t="s">
        <v>61</v>
      </c>
      <c r="AR51" s="2081">
        <v>45657.766655092593</v>
      </c>
      <c r="AS51" s="1371" t="s">
        <v>61</v>
      </c>
      <c r="AT51" s="1265"/>
      <c r="AU51" s="6758" t="s">
        <v>603</v>
      </c>
      <c r="AV51" s="437" t="e">
        <f ca="1">STRCHECKDATE(V54:AT54)</f>
        <v>#NAME?</v>
      </c>
      <c r="AW51" s="426"/>
      <c r="AX51" s="426" t="str">
        <f t="shared" si="2"/>
        <v>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 (включая проектирование)</v>
      </c>
      <c r="AY51" s="426"/>
      <c r="AZ51" s="426"/>
    </row>
    <row r="52" spans="1:52" ht="11.25" customHeight="1">
      <c r="A52" s="1279" t="s">
        <v>330</v>
      </c>
      <c r="B52" s="1279"/>
      <c r="C52" s="1279"/>
      <c r="D52" s="1279"/>
      <c r="E52" s="6764"/>
      <c r="F52" s="6764"/>
      <c r="G52" s="6764"/>
      <c r="H52" s="6764"/>
      <c r="I52" s="6784"/>
      <c r="J52" s="6784"/>
      <c r="K52" s="6761"/>
      <c r="L52" s="1280"/>
      <c r="P52" s="6762"/>
      <c r="Q52" s="6762"/>
      <c r="R52" s="282"/>
      <c r="S52" s="6814"/>
      <c r="T52" s="6817"/>
      <c r="U52" s="219"/>
      <c r="V52" s="1309"/>
      <c r="W52" s="1405"/>
      <c r="X52" s="1309"/>
      <c r="Y52" s="1309"/>
      <c r="Z52" s="1309"/>
      <c r="AA52" s="1309"/>
      <c r="AB52" s="6610"/>
      <c r="AC52" s="6799"/>
      <c r="AD52" s="6718"/>
      <c r="AE52" s="6821" t="s">
        <v>24</v>
      </c>
      <c r="AF52" s="6610"/>
      <c r="AG52" s="6799"/>
      <c r="AH52" s="6718"/>
      <c r="AI52" s="6820"/>
      <c r="AJ52" s="6610"/>
      <c r="AK52" s="239"/>
      <c r="AL52" s="350"/>
      <c r="AM52" s="349" t="s">
        <v>583</v>
      </c>
      <c r="AN52" s="1309"/>
      <c r="AO52" s="1405"/>
      <c r="AP52" s="1309"/>
      <c r="AQ52" s="1309"/>
      <c r="AR52" s="1309"/>
      <c r="AS52" s="1309"/>
      <c r="AT52" s="1306"/>
      <c r="AU52" s="6759"/>
      <c r="AW52" s="426"/>
      <c r="AX52" s="426"/>
      <c r="AY52" s="426"/>
      <c r="AZ52" s="426"/>
    </row>
    <row r="53" spans="1:52" ht="11.25" customHeight="1">
      <c r="A53" s="1279" t="s">
        <v>330</v>
      </c>
      <c r="B53" s="1279"/>
      <c r="C53" s="1279"/>
      <c r="D53" s="1279"/>
      <c r="E53" s="6764"/>
      <c r="F53" s="6764"/>
      <c r="G53" s="6764"/>
      <c r="H53" s="6764"/>
      <c r="I53" s="6784"/>
      <c r="J53" s="6784"/>
      <c r="K53" s="6761"/>
      <c r="L53" s="1280"/>
      <c r="P53" s="6762"/>
      <c r="Q53" s="6762"/>
      <c r="R53" s="282"/>
      <c r="S53" s="6814"/>
      <c r="T53" s="6817"/>
      <c r="U53" s="219"/>
      <c r="V53" s="1309"/>
      <c r="W53" s="1405"/>
      <c r="X53" s="1309"/>
      <c r="Y53" s="1309"/>
      <c r="Z53" s="1309"/>
      <c r="AA53" s="1309"/>
      <c r="AB53" s="6610"/>
      <c r="AC53" s="6799"/>
      <c r="AD53" s="6718"/>
      <c r="AE53" s="6821" t="s">
        <v>24</v>
      </c>
      <c r="AF53" s="6610"/>
      <c r="AG53" s="213"/>
      <c r="AH53" s="349"/>
      <c r="AI53" s="349" t="s">
        <v>584</v>
      </c>
      <c r="AJ53" s="1309"/>
      <c r="AK53" s="1309"/>
      <c r="AL53" s="1309"/>
      <c r="AM53" s="1309"/>
      <c r="AN53" s="1309"/>
      <c r="AO53" s="1405"/>
      <c r="AP53" s="1309"/>
      <c r="AQ53" s="1309"/>
      <c r="AR53" s="1309"/>
      <c r="AS53" s="1309"/>
      <c r="AT53" s="1306"/>
      <c r="AU53" s="6759"/>
      <c r="AW53" s="426"/>
      <c r="AX53" s="426"/>
      <c r="AY53" s="426"/>
      <c r="AZ53" s="426"/>
    </row>
    <row r="54" spans="1:52" ht="75" customHeight="1">
      <c r="A54" s="1279" t="s">
        <v>330</v>
      </c>
      <c r="B54" s="1279" t="s">
        <v>331</v>
      </c>
      <c r="C54" s="1279" t="s">
        <v>332</v>
      </c>
      <c r="D54" s="1279" t="s">
        <v>333</v>
      </c>
      <c r="E54" s="6764"/>
      <c r="F54" s="6764"/>
      <c r="G54" s="6764"/>
      <c r="H54" s="6764"/>
      <c r="I54" s="6784"/>
      <c r="J54" s="6784"/>
      <c r="K54" s="6761"/>
      <c r="L54" s="1280"/>
      <c r="P54" s="6762"/>
      <c r="Q54" s="6762"/>
      <c r="R54" s="282"/>
      <c r="S54" s="6815"/>
      <c r="T54" s="6818"/>
      <c r="U54" s="219"/>
      <c r="V54" s="1309"/>
      <c r="W54" s="1310" t="str">
        <f>X51&amp;"-"&amp;Z51</f>
        <v>-</v>
      </c>
      <c r="X54" s="1309"/>
      <c r="Y54" s="1309"/>
      <c r="Z54" s="1309"/>
      <c r="AA54" s="1309"/>
      <c r="AB54" s="6610"/>
      <c r="AC54" s="233"/>
      <c r="AD54" s="235"/>
      <c r="AE54" s="349" t="s">
        <v>585</v>
      </c>
      <c r="AF54" s="1309"/>
      <c r="AG54" s="1309"/>
      <c r="AH54" s="1309"/>
      <c r="AI54" s="1309"/>
      <c r="AJ54" s="1309"/>
      <c r="AK54" s="1309"/>
      <c r="AL54" s="1309"/>
      <c r="AM54" s="1309"/>
      <c r="AN54" s="1309"/>
      <c r="AO54" s="1310" t="str">
        <f>AP51&amp;"-"&amp;AR51</f>
        <v>45292,7665625-45657,7666550925</v>
      </c>
      <c r="AP54" s="1309"/>
      <c r="AQ54" s="1309"/>
      <c r="AR54" s="1309"/>
      <c r="AS54" s="1309"/>
      <c r="AT54" s="1266"/>
      <c r="AU54" s="6759"/>
      <c r="AW54" s="426"/>
      <c r="AX54" s="426" t="str">
        <f>IF(T54="","",T54)</f>
        <v/>
      </c>
      <c r="AY54" s="426"/>
      <c r="AZ54" s="426"/>
    </row>
    <row r="55" spans="1:52" ht="14.25" customHeight="1">
      <c r="A55" s="2335"/>
      <c r="B55" s="2335"/>
      <c r="C55" s="2335"/>
      <c r="D55" s="2335"/>
      <c r="E55" s="6764"/>
      <c r="F55" s="6764"/>
      <c r="G55" s="6764"/>
      <c r="H55" s="6764"/>
      <c r="I55" s="6784"/>
      <c r="J55" s="6784"/>
      <c r="K55" s="6761" t="str">
        <f>S48&amp;".2"</f>
        <v>1.1.1.1.2</v>
      </c>
      <c r="L55" s="2336"/>
      <c r="M55" s="2352"/>
      <c r="N55" s="2352"/>
      <c r="O55" s="2352"/>
      <c r="P55" s="6762"/>
      <c r="Q55" s="6762"/>
      <c r="R55" s="6822" t="s">
        <v>102</v>
      </c>
      <c r="S55" s="6813" t="str">
        <f>$K55</f>
        <v>1.1.1.1.2</v>
      </c>
      <c r="T55" s="6816" t="s">
        <v>604</v>
      </c>
      <c r="U55" s="2343"/>
      <c r="V55" s="2078"/>
      <c r="W55" s="2080"/>
      <c r="X55" s="6766"/>
      <c r="Y55" s="6610" t="s">
        <v>61</v>
      </c>
      <c r="Z55" s="6766"/>
      <c r="AA55" s="6610" t="s">
        <v>61</v>
      </c>
      <c r="AB55" s="6610" t="s">
        <v>56</v>
      </c>
      <c r="AC55" s="6799"/>
      <c r="AD55" s="6718">
        <v>1</v>
      </c>
      <c r="AE55" s="6800" t="s">
        <v>605</v>
      </c>
      <c r="AF55" s="6610" t="s">
        <v>56</v>
      </c>
      <c r="AG55" s="6799"/>
      <c r="AH55" s="6718">
        <v>1</v>
      </c>
      <c r="AI55" s="6821" t="s">
        <v>24</v>
      </c>
      <c r="AJ55" s="6610" t="s">
        <v>56</v>
      </c>
      <c r="AK55" s="6444"/>
      <c r="AL55" s="6443">
        <v>1</v>
      </c>
      <c r="AM55" s="6445" t="s">
        <v>602</v>
      </c>
      <c r="AN55" s="2078"/>
      <c r="AO55" s="2080">
        <v>16.87</v>
      </c>
      <c r="AP55" s="2081">
        <v>45292.772094907406</v>
      </c>
      <c r="AQ55" s="1856" t="s">
        <v>61</v>
      </c>
      <c r="AR55" s="2081">
        <v>45657.772141203706</v>
      </c>
      <c r="AS55" s="1856" t="s">
        <v>61</v>
      </c>
      <c r="AT55" s="6446"/>
      <c r="AU55" s="6758" t="s">
        <v>582</v>
      </c>
      <c r="AV55" s="2211" t="e">
        <f ca="1">STRCHECKDATE(V58:AT58)</f>
        <v>#NAME?</v>
      </c>
      <c r="AW55" s="2345"/>
      <c r="AX55" s="2345" t="str">
        <f>IF(T55="","",T55)</f>
        <v>Расходы на проведение мероприятий  по подключению объектов заявителей</v>
      </c>
      <c r="AY55" s="2345"/>
      <c r="AZ55" s="2345"/>
    </row>
    <row r="56" spans="1:52" ht="14.25" hidden="1" customHeight="1">
      <c r="A56" s="2335"/>
      <c r="B56" s="2335"/>
      <c r="C56" s="2335"/>
      <c r="D56" s="2335"/>
      <c r="E56" s="6764"/>
      <c r="F56" s="6764"/>
      <c r="G56" s="6764"/>
      <c r="H56" s="6764"/>
      <c r="I56" s="6784"/>
      <c r="J56" s="6784"/>
      <c r="K56" s="6761" t="str">
        <f>S48&amp;".1"</f>
        <v>1.1.1.1.1</v>
      </c>
      <c r="L56" s="2336"/>
      <c r="M56" s="2352"/>
      <c r="N56" s="2352"/>
      <c r="O56" s="2352"/>
      <c r="P56" s="6762"/>
      <c r="Q56" s="6762"/>
      <c r="R56" s="6819"/>
      <c r="S56" s="6814"/>
      <c r="T56" s="6817"/>
      <c r="U56" s="2343"/>
      <c r="V56" s="6447"/>
      <c r="W56" s="6448"/>
      <c r="X56" s="6766"/>
      <c r="Y56" s="6610"/>
      <c r="Z56" s="6766"/>
      <c r="AA56" s="6610"/>
      <c r="AB56" s="6610"/>
      <c r="AC56" s="6799"/>
      <c r="AD56" s="6718"/>
      <c r="AE56" s="6800"/>
      <c r="AF56" s="6610"/>
      <c r="AG56" s="6799"/>
      <c r="AH56" s="6718"/>
      <c r="AI56" s="6821" t="s">
        <v>24</v>
      </c>
      <c r="AJ56" s="6610"/>
      <c r="AK56" s="6449"/>
      <c r="AL56" s="6450"/>
      <c r="AM56" s="6451" t="s">
        <v>583</v>
      </c>
      <c r="AN56" s="6452"/>
      <c r="AO56" s="6453"/>
      <c r="AP56" s="6454"/>
      <c r="AQ56" s="6455"/>
      <c r="AR56" s="6456"/>
      <c r="AS56" s="6457"/>
      <c r="AT56" s="6458"/>
      <c r="AU56" s="6759"/>
      <c r="AV56" s="2211"/>
      <c r="AW56" s="2345"/>
      <c r="AX56" s="2345"/>
      <c r="AY56" s="2345"/>
      <c r="AZ56" s="2345"/>
    </row>
    <row r="57" spans="1:52" ht="14.25" customHeight="1">
      <c r="A57" s="2335"/>
      <c r="B57" s="2335"/>
      <c r="C57" s="2335"/>
      <c r="D57" s="2335"/>
      <c r="E57" s="6764"/>
      <c r="F57" s="6764"/>
      <c r="G57" s="6764"/>
      <c r="H57" s="6764"/>
      <c r="I57" s="6784"/>
      <c r="J57" s="6784"/>
      <c r="K57" s="6761" t="str">
        <f>S48&amp;".1"</f>
        <v>1.1.1.1.1</v>
      </c>
      <c r="L57" s="2336"/>
      <c r="M57" s="2352"/>
      <c r="N57" s="2352"/>
      <c r="O57" s="2352"/>
      <c r="P57" s="6762"/>
      <c r="Q57" s="6762"/>
      <c r="R57" s="6819"/>
      <c r="S57" s="6814"/>
      <c r="T57" s="6817"/>
      <c r="U57" s="2343"/>
      <c r="V57" s="6459"/>
      <c r="W57" s="6460"/>
      <c r="X57" s="6766"/>
      <c r="Y57" s="6610"/>
      <c r="Z57" s="6766"/>
      <c r="AA57" s="6610"/>
      <c r="AB57" s="6610"/>
      <c r="AC57" s="6799"/>
      <c r="AD57" s="6718"/>
      <c r="AE57" s="6800"/>
      <c r="AF57" s="6610"/>
      <c r="AG57" s="6461"/>
      <c r="AH57" s="6462"/>
      <c r="AI57" s="6463" t="s">
        <v>584</v>
      </c>
      <c r="AJ57" s="6464"/>
      <c r="AK57" s="6465"/>
      <c r="AL57" s="6466"/>
      <c r="AM57" s="6467"/>
      <c r="AN57" s="6468"/>
      <c r="AO57" s="6469"/>
      <c r="AP57" s="6470"/>
      <c r="AQ57" s="6471"/>
      <c r="AR57" s="6472"/>
      <c r="AS57" s="6473"/>
      <c r="AT57" s="6458"/>
      <c r="AU57" s="6759"/>
      <c r="AV57" s="2211"/>
      <c r="AW57" s="2345"/>
      <c r="AX57" s="2345"/>
      <c r="AY57" s="2345"/>
      <c r="AZ57" s="2345"/>
    </row>
    <row r="58" spans="1:52" ht="14.25" customHeight="1">
      <c r="A58" s="2335"/>
      <c r="B58" s="2335"/>
      <c r="C58" s="2335"/>
      <c r="D58" s="2335"/>
      <c r="E58" s="6764"/>
      <c r="F58" s="6764"/>
      <c r="G58" s="6764"/>
      <c r="H58" s="6764"/>
      <c r="I58" s="6784"/>
      <c r="J58" s="6784"/>
      <c r="K58" s="6761" t="str">
        <f>S48&amp;".1"</f>
        <v>1.1.1.1.1</v>
      </c>
      <c r="L58" s="2336"/>
      <c r="M58" s="2352"/>
      <c r="N58" s="2352"/>
      <c r="O58" s="2352"/>
      <c r="P58" s="6762"/>
      <c r="Q58" s="6762"/>
      <c r="R58" s="6819"/>
      <c r="S58" s="6815"/>
      <c r="T58" s="6818"/>
      <c r="U58" s="2343"/>
      <c r="V58" s="6474"/>
      <c r="W58" s="6475" t="str">
        <f>X55&amp;"-"&amp;Z55</f>
        <v>-</v>
      </c>
      <c r="X58" s="6767"/>
      <c r="Y58" s="6610"/>
      <c r="Z58" s="6767"/>
      <c r="AA58" s="6610"/>
      <c r="AB58" s="6610"/>
      <c r="AC58" s="6476"/>
      <c r="AD58" s="6477"/>
      <c r="AE58" s="6478" t="s">
        <v>585</v>
      </c>
      <c r="AF58" s="6479"/>
      <c r="AG58" s="6480"/>
      <c r="AH58" s="6481"/>
      <c r="AI58" s="6482"/>
      <c r="AJ58" s="6483"/>
      <c r="AK58" s="6484"/>
      <c r="AL58" s="6485"/>
      <c r="AM58" s="6486"/>
      <c r="AN58" s="6487"/>
      <c r="AO58" s="6488" t="str">
        <f>AP55&amp;"-"&amp;AR55</f>
        <v>45292,7720949074-45657,7721412037</v>
      </c>
      <c r="AP58" s="6489"/>
      <c r="AQ58" s="6490"/>
      <c r="AR58" s="6491"/>
      <c r="AS58" s="6492"/>
      <c r="AT58" s="6493"/>
      <c r="AU58" s="6759"/>
      <c r="AV58" s="2211"/>
      <c r="AW58" s="2345"/>
      <c r="AX58" s="2345" t="str">
        <f t="shared" ref="AX58:AX66" si="3">IF(T58="","",T58)</f>
        <v/>
      </c>
      <c r="AY58" s="2345"/>
      <c r="AZ58" s="2345"/>
    </row>
    <row r="59" spans="1:52" ht="11.25" customHeight="1">
      <c r="A59" s="1279" t="s">
        <v>330</v>
      </c>
      <c r="B59" s="1279" t="s">
        <v>331</v>
      </c>
      <c r="C59" s="1279" t="s">
        <v>332</v>
      </c>
      <c r="D59" s="1279" t="s">
        <v>333</v>
      </c>
      <c r="E59" s="6764"/>
      <c r="F59" s="6764"/>
      <c r="G59" s="6764"/>
      <c r="H59" s="6764"/>
      <c r="I59" s="6784"/>
      <c r="J59" s="6761"/>
      <c r="K59" s="1279"/>
      <c r="L59" s="1280"/>
      <c r="P59" s="6762"/>
      <c r="Q59" s="6762"/>
      <c r="R59" s="281"/>
      <c r="S59" s="1198"/>
      <c r="T59" s="206" t="s">
        <v>586</v>
      </c>
      <c r="U59" s="295"/>
      <c r="V59" s="295"/>
      <c r="W59" s="295"/>
      <c r="X59" s="295"/>
      <c r="Y59" s="295"/>
      <c r="Z59" s="295"/>
      <c r="AA59" s="250"/>
      <c r="AB59" s="1414"/>
      <c r="AC59" s="295"/>
      <c r="AD59" s="295"/>
      <c r="AE59" s="295"/>
      <c r="AF59" s="295"/>
      <c r="AG59" s="295"/>
      <c r="AH59" s="295"/>
      <c r="AI59" s="295"/>
      <c r="AJ59" s="295"/>
      <c r="AK59" s="295"/>
      <c r="AL59" s="295"/>
      <c r="AM59" s="295"/>
      <c r="AN59" s="295"/>
      <c r="AO59" s="295"/>
      <c r="AP59" s="295"/>
      <c r="AQ59" s="295"/>
      <c r="AR59" s="295"/>
      <c r="AS59" s="295"/>
      <c r="AT59" s="250"/>
      <c r="AU59" s="6760"/>
      <c r="AW59" s="426"/>
      <c r="AX59" s="426" t="str">
        <f t="shared" si="3"/>
        <v>Добавить строку</v>
      </c>
      <c r="AY59" s="426"/>
      <c r="AZ59" s="426"/>
    </row>
    <row r="60" spans="1:52" s="1817" customFormat="1" ht="0" hidden="1" customHeight="1">
      <c r="A60" s="1260" t="s">
        <v>330</v>
      </c>
      <c r="B60" s="1260" t="s">
        <v>331</v>
      </c>
      <c r="C60" s="1260" t="s">
        <v>332</v>
      </c>
      <c r="D60" s="1260" t="s">
        <v>333</v>
      </c>
      <c r="E60" s="6764"/>
      <c r="F60" s="6764"/>
      <c r="G60" s="6764"/>
      <c r="H60" s="6764"/>
      <c r="I60" s="6761"/>
      <c r="J60" s="1260"/>
      <c r="K60" s="1260"/>
      <c r="L60" s="1263"/>
      <c r="M60" s="436"/>
      <c r="N60" s="436"/>
      <c r="O60" s="436"/>
      <c r="P60" s="6762"/>
      <c r="Q60" s="1248"/>
      <c r="R60" s="281"/>
      <c r="S60" s="1302"/>
      <c r="T60" s="1303" t="s">
        <v>532</v>
      </c>
      <c r="U60" s="1304"/>
      <c r="V60" s="1304"/>
      <c r="W60" s="1304"/>
      <c r="X60" s="1304"/>
      <c r="Y60" s="1304"/>
      <c r="Z60" s="1304"/>
      <c r="AA60" s="1304"/>
      <c r="AB60" s="1304"/>
      <c r="AC60" s="1304"/>
      <c r="AD60" s="1304"/>
      <c r="AE60" s="1304"/>
      <c r="AF60" s="1304"/>
      <c r="AG60" s="1304"/>
      <c r="AH60" s="1304"/>
      <c r="AI60" s="1304"/>
      <c r="AJ60" s="1304"/>
      <c r="AK60" s="1304"/>
      <c r="AL60" s="1304"/>
      <c r="AM60" s="1304"/>
      <c r="AN60" s="1304"/>
      <c r="AO60" s="1304"/>
      <c r="AP60" s="1304"/>
      <c r="AQ60" s="1304"/>
      <c r="AR60" s="1304"/>
      <c r="AS60" s="1304"/>
      <c r="AT60" s="1304"/>
      <c r="AU60" s="1305"/>
      <c r="AW60" s="426"/>
      <c r="AX60" s="426" t="str">
        <f t="shared" si="3"/>
        <v>Добавить группу потребителей</v>
      </c>
      <c r="AY60" s="426"/>
      <c r="AZ60" s="426"/>
    </row>
    <row r="61" spans="1:52" s="1816" customFormat="1" ht="0" hidden="1" customHeight="1">
      <c r="A61" s="1260" t="s">
        <v>330</v>
      </c>
      <c r="B61" s="1260" t="s">
        <v>331</v>
      </c>
      <c r="C61" s="1260" t="s">
        <v>332</v>
      </c>
      <c r="D61" s="1260" t="s">
        <v>333</v>
      </c>
      <c r="E61" s="6764"/>
      <c r="F61" s="6764"/>
      <c r="G61" s="6764"/>
      <c r="H61" s="6763"/>
      <c r="I61" s="1260"/>
      <c r="J61" s="1260"/>
      <c r="K61" s="1260"/>
      <c r="L61" s="1263"/>
      <c r="M61" s="1233"/>
      <c r="N61" s="1233"/>
      <c r="O61" s="444"/>
      <c r="P61" s="313"/>
      <c r="Q61" s="1261"/>
      <c r="R61" s="1316"/>
      <c r="S61" s="1302"/>
      <c r="T61" s="1303"/>
      <c r="U61" s="1304"/>
      <c r="V61" s="1304"/>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4"/>
      <c r="AR61" s="1304"/>
      <c r="AS61" s="1304"/>
      <c r="AT61" s="1304"/>
      <c r="AU61" s="1305"/>
      <c r="AV61" s="437"/>
      <c r="AW61" s="426"/>
      <c r="AX61" s="426" t="str">
        <f t="shared" si="3"/>
        <v/>
      </c>
      <c r="AY61" s="426"/>
      <c r="AZ61" s="426"/>
    </row>
    <row r="62" spans="1:52" s="2067" customFormat="1" ht="0" hidden="1" customHeight="1">
      <c r="A62" s="1260" t="s">
        <v>330</v>
      </c>
      <c r="B62" s="1260" t="s">
        <v>331</v>
      </c>
      <c r="C62" s="1260" t="s">
        <v>332</v>
      </c>
      <c r="D62" s="1232"/>
      <c r="E62" s="6764"/>
      <c r="F62" s="6764"/>
      <c r="G62" s="6763"/>
      <c r="H62" s="1232"/>
      <c r="I62" s="1232"/>
      <c r="J62" s="1232"/>
      <c r="K62" s="1232"/>
      <c r="L62" s="1256"/>
      <c r="M62" s="1233"/>
      <c r="N62" s="1233"/>
      <c r="P62" s="1234"/>
      <c r="Q62" s="1235"/>
      <c r="R62" s="1234"/>
      <c r="S62" s="1240"/>
      <c r="T62" s="1243" t="s">
        <v>228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источник для дифференциации</v>
      </c>
      <c r="AY62" s="706"/>
      <c r="AZ62" s="706"/>
    </row>
    <row r="63" spans="1:52" s="2067" customFormat="1" ht="0" hidden="1" customHeight="1">
      <c r="A63" s="1260" t="s">
        <v>330</v>
      </c>
      <c r="B63" s="1260" t="s">
        <v>331</v>
      </c>
      <c r="C63" s="1232"/>
      <c r="D63" s="1232"/>
      <c r="E63" s="6764"/>
      <c r="F63" s="6763"/>
      <c r="G63" s="1232"/>
      <c r="H63" s="1232"/>
      <c r="I63" s="1232"/>
      <c r="J63" s="1232"/>
      <c r="K63" s="1232"/>
      <c r="L63" s="1256"/>
      <c r="M63" s="1239"/>
      <c r="N63" s="1239"/>
      <c r="P63" s="1234"/>
      <c r="Q63" s="1235"/>
      <c r="R63" s="1234"/>
      <c r="S63" s="1240"/>
      <c r="T63" s="1243" t="s">
        <v>229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W63" s="706"/>
      <c r="AX63" s="706" t="str">
        <f t="shared" si="3"/>
        <v>Добавить централизованную систему для дифференциации</v>
      </c>
      <c r="AY63" s="706"/>
      <c r="AZ63" s="706"/>
    </row>
    <row r="64" spans="1:52" s="1817" customFormat="1" ht="0" hidden="1" customHeight="1">
      <c r="A64" s="1260" t="s">
        <v>330</v>
      </c>
      <c r="B64" s="1260"/>
      <c r="C64" s="1260"/>
      <c r="D64" s="1260"/>
      <c r="E64" s="6764"/>
      <c r="F64" s="1260"/>
      <c r="G64" s="1260"/>
      <c r="H64" s="1260"/>
      <c r="I64" s="1260"/>
      <c r="J64" s="1260"/>
      <c r="K64" s="1260"/>
      <c r="L64" s="1263"/>
      <c r="M64" s="1239"/>
      <c r="N64" s="1239"/>
      <c r="O64" s="444"/>
      <c r="P64" s="313"/>
      <c r="Q64" s="1261"/>
      <c r="R64" s="313"/>
      <c r="S64" s="1240"/>
      <c r="T64" s="1243" t="s">
        <v>272</v>
      </c>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W64" s="426"/>
      <c r="AX64" s="426" t="str">
        <f t="shared" si="3"/>
        <v>Добавить территорию для дифференциации</v>
      </c>
      <c r="AY64" s="426"/>
      <c r="AZ64" s="426"/>
    </row>
    <row r="65" spans="1:52" s="1817" customFormat="1" ht="0" hidden="1" customHeight="1">
      <c r="A65" s="1260" t="s">
        <v>330</v>
      </c>
      <c r="B65" s="1260"/>
      <c r="C65" s="1260"/>
      <c r="D65" s="1260"/>
      <c r="E65" s="6763"/>
      <c r="F65" s="1260"/>
      <c r="G65" s="1260"/>
      <c r="H65" s="1260"/>
      <c r="I65" s="1260"/>
      <c r="J65" s="1260"/>
      <c r="K65" s="1260"/>
      <c r="L65" s="1263"/>
      <c r="M65" s="1239"/>
      <c r="N65" s="1239"/>
      <c r="O65" s="444"/>
      <c r="P65" s="313"/>
      <c r="Q65" s="1261"/>
      <c r="R65" s="313"/>
      <c r="S65" s="1240"/>
      <c r="T65" s="1243" t="s">
        <v>272</v>
      </c>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W65" s="426"/>
      <c r="AX65" s="426" t="str">
        <f t="shared" si="3"/>
        <v>Добавить территорию для дифференциации</v>
      </c>
      <c r="AY65" s="426"/>
      <c r="AZ65" s="426"/>
    </row>
    <row r="66" spans="1:52" s="2067" customFormat="1" ht="0" hidden="1" customHeight="1">
      <c r="A66" s="1232"/>
      <c r="B66" s="1232"/>
      <c r="C66" s="1232"/>
      <c r="D66" s="1232"/>
      <c r="E66" s="1260"/>
      <c r="F66" s="1232"/>
      <c r="G66" s="1232"/>
      <c r="H66" s="1232"/>
      <c r="I66" s="1232"/>
      <c r="J66" s="1232"/>
      <c r="K66" s="1232"/>
      <c r="L66" s="1256"/>
      <c r="M66" s="1239"/>
      <c r="N66" s="1239"/>
      <c r="P66" s="1234"/>
      <c r="Q66" s="1235"/>
      <c r="R66" s="1234"/>
      <c r="S66" s="1240"/>
      <c r="T66" s="1243" t="s">
        <v>273</v>
      </c>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W66" s="706"/>
      <c r="AX66" s="706" t="str">
        <f t="shared" si="3"/>
        <v>Добавить наименование тарифа</v>
      </c>
      <c r="AY66" s="706"/>
      <c r="AZ66" s="706"/>
    </row>
    <row r="67" spans="1:52" ht="11.25" customHeight="1">
      <c r="M67" s="1060"/>
      <c r="N67" s="1060"/>
      <c r="O67" s="462"/>
      <c r="P67" s="1060"/>
      <c r="Q67" s="1060"/>
      <c r="R67" s="1055"/>
      <c r="S67" s="1055"/>
      <c r="AV67" s="1055"/>
      <c r="AW67" s="1055"/>
      <c r="AX67" s="1055"/>
      <c r="AY67" s="1055"/>
      <c r="AZ67" s="1055"/>
    </row>
    <row r="68" spans="1:52" ht="18.75" customHeight="1">
      <c r="O68" s="462"/>
      <c r="S68" s="1164"/>
      <c r="T68" s="6783"/>
      <c r="U68" s="6783"/>
      <c r="V68" s="6783"/>
      <c r="W68" s="6783"/>
      <c r="X68" s="6783"/>
      <c r="Y68" s="6783"/>
      <c r="Z68" s="6783"/>
      <c r="AA68" s="6783"/>
      <c r="AB68" s="6783"/>
      <c r="AC68" s="6783"/>
      <c r="AD68" s="6783"/>
      <c r="AE68" s="6783"/>
      <c r="AF68" s="6783"/>
      <c r="AG68" s="6783"/>
      <c r="AH68" s="6783"/>
      <c r="AI68" s="6783"/>
      <c r="AJ68" s="6783"/>
      <c r="AK68" s="6783"/>
      <c r="AL68" s="6783"/>
      <c r="AM68" s="6783"/>
      <c r="AN68" s="6783"/>
      <c r="AO68" s="6783"/>
      <c r="AP68" s="6783"/>
      <c r="AQ68" s="6783"/>
      <c r="AR68" s="6783"/>
      <c r="AS68" s="6783"/>
      <c r="AT68" s="6783"/>
      <c r="AU68" s="6783"/>
    </row>
    <row r="69" spans="1:52" ht="19.5" customHeight="1">
      <c r="O69" s="462"/>
      <c r="T69" s="6783"/>
      <c r="U69" s="6783"/>
      <c r="V69" s="6783"/>
      <c r="W69" s="6783"/>
      <c r="X69" s="6783"/>
      <c r="Y69" s="6783"/>
      <c r="Z69" s="6783"/>
      <c r="AA69" s="6783"/>
      <c r="AB69" s="6783"/>
      <c r="AC69" s="6783"/>
      <c r="AD69" s="6783"/>
      <c r="AE69" s="6783"/>
      <c r="AF69" s="6783"/>
      <c r="AG69" s="6783"/>
      <c r="AH69" s="6783"/>
      <c r="AI69" s="6783"/>
      <c r="AJ69" s="6783"/>
      <c r="AK69" s="6783"/>
      <c r="AL69" s="6783"/>
      <c r="AM69" s="6783"/>
      <c r="AN69" s="6783"/>
      <c r="AO69" s="6783"/>
      <c r="AP69" s="6783"/>
      <c r="AQ69" s="6783"/>
      <c r="AR69" s="6783"/>
      <c r="AS69" s="6783"/>
      <c r="AT69" s="6783"/>
      <c r="AU69" s="6783"/>
    </row>
    <row r="70" spans="1:52" ht="14.25" customHeight="1">
      <c r="O70" s="462"/>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row>
    <row r="71" spans="1:52" ht="18.75" customHeight="1">
      <c r="O71" s="462"/>
      <c r="T71" s="6783"/>
      <c r="U71" s="6783"/>
      <c r="V71" s="6783"/>
      <c r="W71" s="6783"/>
      <c r="X71" s="6783"/>
      <c r="Y71" s="6783"/>
      <c r="Z71" s="6783"/>
      <c r="AA71" s="6783"/>
      <c r="AB71" s="6783"/>
      <c r="AC71" s="6783"/>
      <c r="AD71" s="6783"/>
      <c r="AE71" s="6783"/>
      <c r="AF71" s="6783"/>
      <c r="AG71" s="6783"/>
      <c r="AH71" s="6783"/>
      <c r="AI71" s="6783"/>
      <c r="AJ71" s="6783"/>
      <c r="AK71" s="6783"/>
      <c r="AL71" s="6783"/>
      <c r="AM71" s="6783"/>
      <c r="AN71" s="6783"/>
      <c r="AO71" s="6783"/>
      <c r="AP71" s="6783"/>
      <c r="AQ71" s="6783"/>
      <c r="AR71" s="6783"/>
      <c r="AS71" s="6783"/>
      <c r="AT71" s="6783"/>
      <c r="AU71" s="6783"/>
    </row>
    <row r="72" spans="1:52" ht="15.75" customHeight="1">
      <c r="O72" s="462"/>
      <c r="T72" s="6783"/>
      <c r="U72" s="6783"/>
      <c r="V72" s="6783"/>
      <c r="W72" s="6783"/>
      <c r="X72" s="6783"/>
      <c r="Y72" s="6783"/>
      <c r="Z72" s="6783"/>
      <c r="AA72" s="6783"/>
      <c r="AB72" s="6783"/>
      <c r="AC72" s="6783"/>
      <c r="AD72" s="6783"/>
      <c r="AE72" s="6783"/>
      <c r="AF72" s="6783"/>
      <c r="AG72" s="6783"/>
      <c r="AH72" s="6783"/>
      <c r="AI72" s="6783"/>
      <c r="AJ72" s="6783"/>
      <c r="AK72" s="6783"/>
      <c r="AL72" s="6783"/>
      <c r="AM72" s="6783"/>
      <c r="AN72" s="6783"/>
      <c r="AO72" s="6783"/>
      <c r="AP72" s="6783"/>
      <c r="AQ72" s="6783"/>
      <c r="AR72" s="6783"/>
      <c r="AS72" s="6783"/>
      <c r="AT72" s="6783"/>
      <c r="AU72" s="6783"/>
    </row>
    <row r="73" spans="1:52" ht="14.25" customHeight="1">
      <c r="O73" s="462"/>
    </row>
  </sheetData>
  <sheetProtection formatColumns="0" formatRows="0" insertRows="0" deleteColumns="0" deleteRows="0" sort="0" autoFilter="0"/>
  <mergeCells count="135">
    <mergeCell ref="AE55:AE57"/>
    <mergeCell ref="AF55:AF57"/>
    <mergeCell ref="AG55:AG56"/>
    <mergeCell ref="AH55:AH56"/>
    <mergeCell ref="AI55:AI56"/>
    <mergeCell ref="AJ55:AJ56"/>
    <mergeCell ref="S55:S58"/>
    <mergeCell ref="T55:T58"/>
    <mergeCell ref="X55:X58"/>
    <mergeCell ref="Y55:Y58"/>
    <mergeCell ref="Z55:Z58"/>
    <mergeCell ref="AA55:AA58"/>
    <mergeCell ref="AB55:AB58"/>
    <mergeCell ref="AC55:AC57"/>
    <mergeCell ref="AD55:AD57"/>
    <mergeCell ref="T71:AU71"/>
    <mergeCell ref="T72:AU72"/>
    <mergeCell ref="AI51:AI52"/>
    <mergeCell ref="AJ51:AJ52"/>
    <mergeCell ref="AJ40:AM43"/>
    <mergeCell ref="AD51:AD53"/>
    <mergeCell ref="AE51:AE53"/>
    <mergeCell ref="AF51:AF53"/>
    <mergeCell ref="AG51:AG52"/>
    <mergeCell ref="AH51:AH52"/>
    <mergeCell ref="T68:AU68"/>
    <mergeCell ref="T69:AU69"/>
    <mergeCell ref="T51:T54"/>
    <mergeCell ref="AB51:AB54"/>
    <mergeCell ref="AC51:AC53"/>
    <mergeCell ref="AU39:AU43"/>
    <mergeCell ref="T40:T43"/>
    <mergeCell ref="V40:Z40"/>
    <mergeCell ref="AU51:AU59"/>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5"/>
    <mergeCell ref="V45:AA45"/>
    <mergeCell ref="AB45:AT45"/>
    <mergeCell ref="F46:F63"/>
    <mergeCell ref="V46:AA46"/>
    <mergeCell ref="AB46:AT46"/>
    <mergeCell ref="G47:G62"/>
    <mergeCell ref="V47:AA47"/>
    <mergeCell ref="AB47:AT47"/>
    <mergeCell ref="H48:H61"/>
    <mergeCell ref="V48:AA48"/>
    <mergeCell ref="AB48:AT48"/>
    <mergeCell ref="I49:I60"/>
    <mergeCell ref="P49:P60"/>
    <mergeCell ref="V49:AA49"/>
    <mergeCell ref="AB49:AT49"/>
    <mergeCell ref="J50:J59"/>
    <mergeCell ref="Q50:Q59"/>
    <mergeCell ref="V50:AA50"/>
    <mergeCell ref="AB50:AT50"/>
    <mergeCell ref="K51:K54"/>
    <mergeCell ref="S51:S54"/>
    <mergeCell ref="K55:K58"/>
    <mergeCell ref="R55:R58"/>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61:AT917561 V983097:AT983097 V65593:AT65593 V131129:AT131129 V196665:AT196665 V262201:AT262201 V327737:AT327737 V393273:AT393273 V458809:AT458809 V524345:AT524345 V589881:AT589881 V655417:AT655417 V720953:AT720953 V786489:AT786489 V852025:AT852025">
      <formula1>kind_of_cons</formula1>
    </dataValidation>
    <dataValidation allowBlank="1" sqref="S131132:AU131138 S196668:AU196674 S262204:AU262210 S327740:AU327746 S393276:AU393282 S458812:AU458818 S524348:AU524354 S589884:AU589890 S655420:AU655426 S720956:AU720962 S786492:AU786498 S852028:AU852034 S917564:AU917570 S983100:AU983106 S65596:AU65602"/>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type="list" allowBlank="1" showInputMessage="1" showErrorMessage="1" errorTitle="Ошибка" error="Выберите значение из списка" sqref="AB983096:AM983096 AB65592:AM65592 AB131128:AM131128 AB196664:AM196664 AB262200:AM262200 AB327736:AM327736 AB393272:AM393272 AB458808:AM458808 AB524344:AM524344 AB589880:AM589880 AB655416:AM655416 AB720952:AM720952 AB786488:AM786488 AB852024:AM852024 AB917560:AM91756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4 X131130 X196666 X262202 X327738 X393274 X458810 X524346 X589882 X655418 X720954 X786490 X852026 X917562 X983098 Z65594 Z131130 Z196666 Z262202 Z327738 Z393274 Z458810 Z524346 Z589882 Z655418 Z720954 Z786490 Z852026 Z917562 Z983098 X8:X10 Z8:Z10 AP65594 AP131130 AP196666 AP262202 AP327738 AP393274 AP458810 AP524346 AP589882 AP655418 AP720954 AP786490 AP852026 AP917562 AP983098 AR65594 AR131130 AR196666 AR262202 AR327738 AR393274 AR458810 AR524346 AR589882 AR655418 AR720954 AR786490 AR852026 AR917562 AR983098 AR8 AR51 AR19 AP19 AP8 AP51 Z51 X51 X55 Z55 AP55 AR55 X56 Z56 X57 Z57"/>
    <dataValidation allowBlank="1" promptTitle="checkPeriodRange" sqref="W65595 W131131 W196667 W262203 W327739 W393275 W458811 W524347 W589883 W655419 W720955 W786491 W852027 W917563 W983099 AO54 AO58 W11 AO65595 AO131131 AO196667 AO262203 AO327739 AO393275 AO458811 AO524347 AO589883 AO655419 AO720955 AO786491 AO852027 AO917563 AO983099 AO11 W54 W58"/>
    <dataValidation type="textLength" operator="lessThanOrEqual" allowBlank="1" showInputMessage="1" showErrorMessage="1" errorTitle="Ошибка" error="Допускается ввод не более 900 символов!" sqref="AU65588:AU65595 AU131124:AU131131 AU196660:AU196667 AU262196:AU262203 AU327732:AU327739 AU393268:AU393275 AU458804:AU458811 AU524340:AU524347 AU589876:AU589883 AU655412:AU655419 AU720948:AU720955 AU786484:AU786491 AU852020:AU852027 AU917556:AU917563 AU983092:AU983099 T8:T11 T51:T58">
      <formula1>900</formula1>
    </dataValidation>
    <dataValidation allowBlank="1" showInputMessage="1" showErrorMessage="1" prompt="Для выбора выполните двойной щелчок левой клавиши мыши по соответствующей ячейке." sqref="Y65594 Y131130 Y196666 Y262202 Y327738 Y393274 Y458810 Y524346 Y589882 Y655418 Y720954 Y786490 Y852026 Y917562 Y983098 AA131130 AA458810 AA196666 AA262202 AA327738 AA393274 AA524346 AA589882 AA655418 AA720954 AA786490 AA852026 AA917562 AA983098 AA65594 AA8:AA10 Y8:Y10 AQ65594 AQ131130 AQ196666 AQ262202 AQ327738 AQ393274 AQ458810 AQ524346 AQ589882 AQ655418 AQ720954 AQ786490 AQ852026 AQ917562 AQ983098 AS131130 AS458810 AS196666 AS262202 AS327738 AS393274 AS524346 AS589882 AS655418 AS720954 AS786490 AS852026 AS917562 AS983098 AS65594 AQ8 AB8 AE8:AF8 AI8:AJ8 AQ19 AS51 AS19 AB19 AE19:AF19 AI19:AJ19 AI51:AJ51 AE51:AF51 AA51:AB51 AS8 AQ51 Y51 Y55 AA55 AB55 AE55 AF55 AI55 AJ55 AQ55 AS55 Y56 AA56 Y57 AA5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4" hidden="1" customWidth="1"/>
    <col min="13" max="14" width="12.28515625" style="2069" hidden="1" customWidth="1"/>
    <col min="15" max="15" width="23.42578125" style="2069" hidden="1" customWidth="1"/>
    <col min="16" max="16" width="3.7109375" style="6495"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339"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37"/>
      <c r="Q3" s="277"/>
      <c r="R3" s="278"/>
      <c r="S3" s="1339"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339" t="e">
        <f>INDEX(PT_DIFFERENTIATION_NUM_CS,MATCH(C4,PT_DIFFERENTIATION_CS_ID,0))</f>
        <v>#N/A</v>
      </c>
      <c r="T4" s="230" t="s">
        <v>606</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607</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36"/>
      <c r="R5" s="281"/>
      <c r="S5" s="1339"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339"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339"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38"/>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36"/>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14.25"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340"/>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35"/>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35"/>
      <c r="M19" s="1278"/>
      <c r="N19" s="1278"/>
      <c r="O19" s="1278"/>
      <c r="P19" s="1278"/>
      <c r="Q19" s="1287"/>
      <c r="R19" s="1287"/>
      <c r="S19" s="648"/>
      <c r="AB19" s="1282"/>
      <c r="AI19" s="1282"/>
      <c r="AL19" s="437"/>
      <c r="AM19" s="437"/>
      <c r="AN19" s="437"/>
      <c r="AO19" s="437"/>
      <c r="AP19" s="437"/>
    </row>
    <row r="20" spans="1:42" s="1830" customFormat="1" ht="12" hidden="1" customHeight="1">
      <c r="L20" s="1335"/>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268" t="s">
        <v>614</v>
      </c>
      <c r="W38" s="6600" t="s">
        <v>552</v>
      </c>
      <c r="X38" s="6599"/>
      <c r="Y38" s="6600" t="s">
        <v>553</v>
      </c>
      <c r="Z38" s="6605"/>
      <c r="AA38" s="6599"/>
      <c r="AB38" s="6776"/>
      <c r="AC38" s="1268" t="s">
        <v>614</v>
      </c>
      <c r="AD38" s="6600" t="s">
        <v>552</v>
      </c>
      <c r="AE38" s="6599"/>
      <c r="AF38" s="6600" t="s">
        <v>553</v>
      </c>
      <c r="AG38" s="6605"/>
      <c r="AH38" s="6599"/>
      <c r="AI38" s="6776"/>
      <c r="AJ38" s="6779"/>
      <c r="AK38" s="6629"/>
    </row>
    <row r="39" spans="1:42" ht="33.7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268" t="s">
        <v>617</v>
      </c>
      <c r="W39" s="1128" t="s">
        <v>618</v>
      </c>
      <c r="X39" s="1128" t="s">
        <v>619</v>
      </c>
      <c r="Y39" s="1273" t="s">
        <v>563</v>
      </c>
      <c r="Z39" s="6731" t="s">
        <v>564</v>
      </c>
      <c r="AA39" s="6733"/>
      <c r="AB39" s="6777"/>
      <c r="AC39" s="1268" t="s">
        <v>617</v>
      </c>
      <c r="AD39" s="1128" t="s">
        <v>618</v>
      </c>
      <c r="AE39" s="1128" t="s">
        <v>619</v>
      </c>
      <c r="AF39" s="1273" t="s">
        <v>563</v>
      </c>
      <c r="AG39" s="6731" t="s">
        <v>564</v>
      </c>
      <c r="AH39" s="6733"/>
      <c r="AI39" s="6777"/>
      <c r="AJ39" s="6780"/>
      <c r="AK39" s="6629"/>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269">
        <f ca="1">OFFSET(V40,0,-1)+1</f>
        <v>3</v>
      </c>
      <c r="W40" s="1269">
        <f ca="1">OFFSET(W40,0,-1)+1</f>
        <v>4</v>
      </c>
      <c r="X40" s="1269">
        <f ca="1">OFFSET(X40,0,-1)+1</f>
        <v>5</v>
      </c>
      <c r="Y40" s="1269">
        <f ca="1">OFFSET(Y40,0,-1)+1</f>
        <v>6</v>
      </c>
      <c r="Z40" s="6770">
        <f ca="1">OFFSET(Z40,0,-1)+1</f>
        <v>7</v>
      </c>
      <c r="AA40" s="6770"/>
      <c r="AB40" s="1269">
        <f ca="1">OFFSET(AB40,0,-2)+1</f>
        <v>8</v>
      </c>
      <c r="AC40" s="1269">
        <f ca="1">OFFSET(AC40,0,-1)+1</f>
        <v>9</v>
      </c>
      <c r="AD40" s="1269">
        <f ca="1">OFFSET(AD40,0,-1)+1</f>
        <v>10</v>
      </c>
      <c r="AE40" s="1269">
        <f ca="1">OFFSET(AE40,0,-1)+1</f>
        <v>11</v>
      </c>
      <c r="AF40" s="1269">
        <f ca="1">OFFSET(AF40,0,-1)+1</f>
        <v>12</v>
      </c>
      <c r="AG40" s="6770">
        <f ca="1">OFFSET(AG40,0,-1)+1</f>
        <v>13</v>
      </c>
      <c r="AH40" s="6770"/>
      <c r="AI40" s="1269">
        <f ca="1">OFFSET(AI40,0,-2)+1</f>
        <v>14</v>
      </c>
      <c r="AJ40" s="1154">
        <f ca="1">OFFSET(AJ40,0,-1)</f>
        <v>14</v>
      </c>
      <c r="AK40" s="1269">
        <f ca="1">OFFSET(AK40,0,-1)+1</f>
        <v>15</v>
      </c>
      <c r="AL40" s="437"/>
      <c r="AM40" s="437"/>
      <c r="AN40" s="437"/>
      <c r="AO40" s="437"/>
      <c r="AP40" s="437"/>
    </row>
    <row r="41" spans="1:42" ht="23.25" customHeight="1">
      <c r="A41" s="1279" t="s">
        <v>344</v>
      </c>
      <c r="B41" s="1279"/>
      <c r="C41" s="1279"/>
      <c r="D41" s="1279"/>
      <c r="E41" s="6763">
        <v>1</v>
      </c>
      <c r="F41" s="1279"/>
      <c r="G41" s="1279"/>
      <c r="H41" s="1279"/>
      <c r="I41" s="1279"/>
      <c r="J41" s="1279"/>
      <c r="K41" s="1279"/>
      <c r="L41" s="1280"/>
      <c r="M41" s="1281"/>
      <c r="N41" s="1281"/>
      <c r="O41" s="1281"/>
      <c r="P41" s="286"/>
      <c r="Q41" s="285"/>
      <c r="R41" s="280"/>
      <c r="S41" s="1274">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344</v>
      </c>
      <c r="B42" s="1279" t="s">
        <v>345</v>
      </c>
      <c r="C42" s="1279"/>
      <c r="D42" s="1279"/>
      <c r="E42" s="6764"/>
      <c r="F42" s="6763">
        <v>1</v>
      </c>
      <c r="G42" s="1279"/>
      <c r="H42" s="1279"/>
      <c r="I42" s="1279"/>
      <c r="J42" s="1279"/>
      <c r="K42" s="1279"/>
      <c r="L42" s="1280"/>
      <c r="M42" s="1281"/>
      <c r="N42" s="1281"/>
      <c r="O42" s="1281"/>
      <c r="P42" s="1272"/>
      <c r="Q42" s="277"/>
      <c r="R42" s="278"/>
      <c r="S42" s="1274"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344</v>
      </c>
      <c r="B43" s="1279" t="s">
        <v>345</v>
      </c>
      <c r="C43" s="1279" t="s">
        <v>346</v>
      </c>
      <c r="D43" s="1279"/>
      <c r="E43" s="6764"/>
      <c r="F43" s="6764"/>
      <c r="G43" s="6763">
        <v>1</v>
      </c>
      <c r="H43" s="1279"/>
      <c r="I43" s="1279"/>
      <c r="J43" s="1279"/>
      <c r="K43" s="1279"/>
      <c r="L43" s="1280"/>
      <c r="M43" s="1281"/>
      <c r="N43" s="1281"/>
      <c r="O43" s="1281"/>
      <c r="P43" s="279"/>
      <c r="Q43" s="277"/>
      <c r="R43" s="278"/>
      <c r="S43" s="1274" t="str">
        <f>INDEX(PT_DIFFERENTIATION_NUM_CS,MATCH(C43,PT_DIFFERENTIATION_CS_ID,0))</f>
        <v>..</v>
      </c>
      <c r="T43" s="230" t="s">
        <v>606</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607</v>
      </c>
      <c r="AM43" s="426"/>
      <c r="AN43" s="426" t="str">
        <f t="shared" si="1"/>
        <v>Наименование централизованной системы холодного водоснабжения</v>
      </c>
      <c r="AO43" s="426"/>
      <c r="AP43" s="426"/>
    </row>
    <row r="44" spans="1:42" ht="23.25" customHeight="1">
      <c r="A44" s="1279" t="s">
        <v>344</v>
      </c>
      <c r="B44" s="1279" t="s">
        <v>345</v>
      </c>
      <c r="C44" s="1279" t="s">
        <v>346</v>
      </c>
      <c r="D44" s="1279" t="s">
        <v>620</v>
      </c>
      <c r="E44" s="6764"/>
      <c r="F44" s="6764"/>
      <c r="G44" s="6764"/>
      <c r="H44" s="6764"/>
      <c r="I44" s="6761" t="str">
        <f>S43&amp;".1"</f>
        <v>...1</v>
      </c>
      <c r="J44" s="1279"/>
      <c r="K44" s="1279"/>
      <c r="L44" s="1280"/>
      <c r="P44" s="6762">
        <v>1</v>
      </c>
      <c r="Q44" s="1270"/>
      <c r="R44" s="281"/>
      <c r="S44" s="1274"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344</v>
      </c>
      <c r="B45" s="1279" t="s">
        <v>345</v>
      </c>
      <c r="C45" s="1279" t="s">
        <v>346</v>
      </c>
      <c r="D45" s="1279" t="s">
        <v>620</v>
      </c>
      <c r="E45" s="6764"/>
      <c r="F45" s="6764"/>
      <c r="G45" s="6764"/>
      <c r="H45" s="6764"/>
      <c r="I45" s="6784"/>
      <c r="J45" s="6761" t="str">
        <f>I44&amp;".1"</f>
        <v>...1.1</v>
      </c>
      <c r="K45" s="1279"/>
      <c r="L45" s="1280" t="s">
        <v>526</v>
      </c>
      <c r="P45" s="6762"/>
      <c r="Q45" s="6762">
        <v>1</v>
      </c>
      <c r="R45" s="282"/>
      <c r="S45" s="1274"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344</v>
      </c>
      <c r="B46" s="1279" t="s">
        <v>345</v>
      </c>
      <c r="C46" s="1279" t="s">
        <v>346</v>
      </c>
      <c r="D46" s="1279" t="s">
        <v>620</v>
      </c>
      <c r="E46" s="6764"/>
      <c r="F46" s="6764"/>
      <c r="G46" s="6764"/>
      <c r="H46" s="6764"/>
      <c r="I46" s="6784"/>
      <c r="J46" s="6784"/>
      <c r="K46" s="6761" t="str">
        <f>J45&amp;".1"</f>
        <v>...1.1.1</v>
      </c>
      <c r="L46" s="1280"/>
      <c r="P46" s="6762"/>
      <c r="Q46" s="6762"/>
      <c r="R46" s="282">
        <v>1</v>
      </c>
      <c r="S46" s="1274" t="str">
        <f>$K46</f>
        <v>...1.1.1</v>
      </c>
      <c r="T46" s="1351"/>
      <c r="U46" s="219"/>
      <c r="V46" s="1276"/>
      <c r="W46" s="1276"/>
      <c r="X46" s="1277"/>
      <c r="Y46" s="6768"/>
      <c r="Z46" s="6769" t="s">
        <v>61</v>
      </c>
      <c r="AA46" s="6768"/>
      <c r="AB46" s="6769" t="s">
        <v>61</v>
      </c>
      <c r="AC46" s="668"/>
      <c r="AD46" s="668"/>
      <c r="AE46" s="1176"/>
      <c r="AF46" s="6766"/>
      <c r="AG46" s="6610" t="s">
        <v>61</v>
      </c>
      <c r="AH46" s="6785"/>
      <c r="AI46" s="6610" t="s">
        <v>56</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344</v>
      </c>
      <c r="B47" s="1279" t="s">
        <v>345</v>
      </c>
      <c r="C47" s="1279" t="s">
        <v>346</v>
      </c>
      <c r="D47" s="1279" t="s">
        <v>620</v>
      </c>
      <c r="E47" s="6764"/>
      <c r="F47" s="6764"/>
      <c r="G47" s="6764"/>
      <c r="H47" s="6764"/>
      <c r="I47" s="6784"/>
      <c r="J47" s="6784"/>
      <c r="K47" s="6761"/>
      <c r="L47" s="1280"/>
      <c r="P47" s="6762"/>
      <c r="Q47" s="6762"/>
      <c r="R47" s="282"/>
      <c r="S47" s="1275"/>
      <c r="T47" s="219"/>
      <c r="U47" s="219"/>
      <c r="V47" s="1276"/>
      <c r="W47" s="1276"/>
      <c r="X47" s="255" t="str">
        <f>Y46&amp;"-"&amp;AA46</f>
        <v>-</v>
      </c>
      <c r="Y47" s="6769"/>
      <c r="Z47" s="6769"/>
      <c r="AA47" s="6769"/>
      <c r="AB47" s="6769"/>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344</v>
      </c>
      <c r="B48" s="1279" t="s">
        <v>345</v>
      </c>
      <c r="C48" s="1279" t="s">
        <v>346</v>
      </c>
      <c r="D48" s="1279" t="s">
        <v>620</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344</v>
      </c>
      <c r="B49" s="1279" t="s">
        <v>345</v>
      </c>
      <c r="C49" s="1279" t="s">
        <v>346</v>
      </c>
      <c r="D49" s="1279" t="s">
        <v>620</v>
      </c>
      <c r="E49" s="6764"/>
      <c r="F49" s="6764"/>
      <c r="G49" s="6764"/>
      <c r="H49" s="6764"/>
      <c r="I49" s="6761"/>
      <c r="J49" s="1279"/>
      <c r="K49" s="1279"/>
      <c r="L49" s="1280"/>
      <c r="P49" s="6762"/>
      <c r="Q49" s="1270"/>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344</v>
      </c>
      <c r="B50" s="1279" t="s">
        <v>345</v>
      </c>
      <c r="C50" s="1279" t="s">
        <v>346</v>
      </c>
      <c r="D50" s="1279" t="s">
        <v>620</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344</v>
      </c>
      <c r="B51" s="1260" t="s">
        <v>345</v>
      </c>
      <c r="C51" s="1232"/>
      <c r="D51" s="1232"/>
      <c r="E51" s="6764"/>
      <c r="F51" s="6763"/>
      <c r="G51" s="1232"/>
      <c r="H51" s="1232"/>
      <c r="I51" s="1232"/>
      <c r="J51" s="1232"/>
      <c r="K51" s="1232"/>
      <c r="L51" s="1340"/>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344</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340"/>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64" sqref="F64"/>
    </sheetView>
  </sheetViews>
  <sheetFormatPr defaultColWidth="9.140625" defaultRowHeight="11.25" customHeight="1"/>
  <cols>
    <col min="1" max="1" width="10.7109375" style="1804" hidden="1" customWidth="1"/>
    <col min="2" max="2" width="10.7109375" style="1801" hidden="1" customWidth="1"/>
    <col min="3" max="3" width="3.7109375" style="1813" customWidth="1"/>
    <col min="4" max="4" width="1.7109375" style="1814" customWidth="1"/>
    <col min="5" max="5" width="55.28515625" style="1814" customWidth="1"/>
    <col min="6" max="6" width="50.7109375" style="1814" customWidth="1"/>
    <col min="7" max="7" width="1.7109375" style="1805" customWidth="1"/>
    <col min="8" max="8" width="18" style="1806" hidden="1" customWidth="1"/>
    <col min="9" max="9" width="9.5703125" style="1799" customWidth="1"/>
    <col min="10" max="10" width="52.140625" style="1807" hidden="1" customWidth="1"/>
    <col min="11" max="11" width="9.140625" style="1814"/>
    <col min="12" max="12" width="78" style="1814" customWidth="1"/>
    <col min="13" max="16" width="9.140625" style="1814"/>
  </cols>
  <sheetData>
    <row r="1" spans="1:11" s="1798" customFormat="1" ht="3" customHeight="1">
      <c r="A1" s="700"/>
      <c r="B1" s="160"/>
      <c r="F1" s="161">
        <v>26354809</v>
      </c>
      <c r="G1" s="345"/>
      <c r="H1" s="7"/>
      <c r="I1" s="345"/>
      <c r="J1" s="784"/>
    </row>
    <row r="2" spans="1:11" s="1800" customFormat="1" ht="14.25" customHeight="1">
      <c r="A2" s="700"/>
      <c r="B2" s="31"/>
      <c r="E2" s="1648"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3" customFormat="1" ht="6" customHeight="1">
      <c r="A4" s="701"/>
      <c r="B4" s="152"/>
      <c r="C4" s="153"/>
      <c r="D4" s="154"/>
      <c r="E4" s="162"/>
      <c r="F4" s="163"/>
      <c r="G4" s="688"/>
      <c r="H4" s="343"/>
      <c r="I4" s="345"/>
      <c r="J4" s="787"/>
    </row>
    <row r="5" spans="1:11" ht="37.5" customHeight="1">
      <c r="D5" s="9"/>
      <c r="E5" s="6599" t="str">
        <f>NameTemplatesInTitle</f>
        <v>Показатели, подлежащие раскрытию в сфере теплоснабжения (цены и тарифы)</v>
      </c>
      <c r="F5" s="6600"/>
      <c r="G5" s="689"/>
      <c r="J5" s="788"/>
    </row>
    <row r="6" spans="1:11" s="1803" customFormat="1" ht="6" customHeight="1">
      <c r="A6" s="701"/>
      <c r="B6" s="152"/>
      <c r="C6" s="153"/>
      <c r="D6" s="154"/>
      <c r="E6" s="156"/>
      <c r="F6" s="157"/>
      <c r="G6" s="689"/>
      <c r="H6" s="343"/>
      <c r="I6" s="345"/>
      <c r="J6" s="787"/>
    </row>
    <row r="7" spans="1:11" ht="19.5" customHeight="1">
      <c r="D7" s="9"/>
      <c r="E7" s="325" t="s">
        <v>13</v>
      </c>
      <c r="F7" s="136" t="s">
        <v>14</v>
      </c>
      <c r="G7" s="689"/>
    </row>
    <row r="8" spans="1:11" s="1803" customFormat="1" ht="6" customHeight="1">
      <c r="A8" s="702"/>
      <c r="B8" s="152"/>
      <c r="C8" s="153"/>
      <c r="D8" s="158"/>
      <c r="E8" s="156"/>
      <c r="F8" s="159"/>
      <c r="G8" s="11"/>
      <c r="H8" s="343"/>
      <c r="I8" s="345"/>
      <c r="J8" s="790"/>
    </row>
    <row r="9" spans="1:11" s="1806" customFormat="1" ht="19.5" hidden="1" customHeight="1">
      <c r="A9" s="701"/>
      <c r="B9" s="31"/>
      <c r="C9" s="342"/>
      <c r="D9" s="344"/>
      <c r="E9" s="1065" t="s">
        <v>15</v>
      </c>
      <c r="F9" s="1051"/>
      <c r="G9" s="689"/>
      <c r="I9" s="345"/>
      <c r="J9" s="789"/>
    </row>
    <row r="10" spans="1:11" s="1808" customFormat="1" ht="6" customHeight="1">
      <c r="A10" s="702"/>
      <c r="B10" s="359"/>
      <c r="C10" s="360"/>
      <c r="D10" s="158"/>
      <c r="E10" s="156"/>
      <c r="F10" s="159"/>
      <c r="G10" s="11"/>
      <c r="H10" s="343"/>
      <c r="I10" s="345"/>
      <c r="J10" s="790"/>
    </row>
    <row r="11" spans="1:11" ht="22.5" customHeight="1">
      <c r="A11" s="6602" t="s">
        <v>16</v>
      </c>
      <c r="D11" s="9"/>
      <c r="E11" s="1065" t="s">
        <v>17</v>
      </c>
      <c r="F11" s="1809">
        <v>45292.425983796296</v>
      </c>
      <c r="G11" s="11"/>
      <c r="H11" s="690" t="s">
        <v>18</v>
      </c>
      <c r="J11" s="789" t="s">
        <v>19</v>
      </c>
    </row>
    <row r="12" spans="1:11" ht="22.5" customHeight="1">
      <c r="A12" s="6602"/>
      <c r="D12" s="9"/>
      <c r="E12" s="1065" t="s">
        <v>20</v>
      </c>
      <c r="F12" s="1809">
        <v>47118.426053240742</v>
      </c>
      <c r="G12" s="8"/>
      <c r="J12" s="789" t="s">
        <v>21</v>
      </c>
    </row>
    <row r="13" spans="1:11" s="1806" customFormat="1" ht="22.5" hidden="1" customHeight="1">
      <c r="A13" s="705" t="s">
        <v>22</v>
      </c>
      <c r="B13" s="31"/>
      <c r="C13" s="342"/>
      <c r="D13" s="344"/>
      <c r="E13" s="1684" t="s">
        <v>23</v>
      </c>
      <c r="F13" s="1641" t="s">
        <v>24</v>
      </c>
      <c r="G13" s="11"/>
      <c r="H13" s="687"/>
      <c r="I13" s="345"/>
      <c r="J13" s="1685" t="s">
        <v>25</v>
      </c>
    </row>
    <row r="14" spans="1:11" s="1806" customFormat="1" ht="27" hidden="1" customHeight="1">
      <c r="A14" s="705" t="s">
        <v>26</v>
      </c>
      <c r="B14" s="31"/>
      <c r="C14" s="342"/>
      <c r="D14" s="344"/>
      <c r="E14" s="1065" t="s">
        <v>27</v>
      </c>
      <c r="F14" s="1676"/>
      <c r="G14" s="11"/>
      <c r="H14" s="687"/>
      <c r="I14" s="345"/>
      <c r="J14" s="789" t="s">
        <v>28</v>
      </c>
    </row>
    <row r="15" spans="1:11" s="1806" customFormat="1" ht="19.5" hidden="1" customHeight="1">
      <c r="A15" s="705" t="s">
        <v>29</v>
      </c>
      <c r="B15" s="31"/>
      <c r="C15" s="342"/>
      <c r="D15" s="344"/>
      <c r="E15" s="1065" t="s">
        <v>30</v>
      </c>
      <c r="F15" s="1676"/>
      <c r="G15" s="11"/>
      <c r="H15" s="687"/>
      <c r="I15" s="345"/>
      <c r="J15" s="789" t="s">
        <v>31</v>
      </c>
    </row>
    <row r="16" spans="1:11" s="1803" customFormat="1" ht="6" customHeight="1">
      <c r="A16" s="702"/>
      <c r="B16" s="152"/>
      <c r="C16" s="153"/>
      <c r="D16" s="158"/>
      <c r="E16" s="156"/>
      <c r="F16" s="159"/>
      <c r="G16" s="11"/>
      <c r="H16" s="343"/>
      <c r="I16" s="345"/>
      <c r="J16" s="787"/>
    </row>
    <row r="17" spans="1:10" ht="19.5" customHeight="1">
      <c r="D17" s="9"/>
      <c r="E17" s="325" t="s">
        <v>32</v>
      </c>
      <c r="F17" s="137" t="s">
        <v>33</v>
      </c>
      <c r="G17" s="8"/>
      <c r="H17" s="690" t="s">
        <v>18</v>
      </c>
    </row>
    <row r="18" spans="1:10" ht="25.5" hidden="1" customHeight="1">
      <c r="D18" s="9"/>
      <c r="E18" s="1684" t="s">
        <v>34</v>
      </c>
      <c r="F18" s="1642"/>
      <c r="G18" s="8"/>
      <c r="I18" s="691"/>
      <c r="J18" s="6601"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2"/>
      <c r="G19" s="8"/>
      <c r="I19" s="691"/>
      <c r="J19" s="6601"/>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09">
        <v>45280.426180555558</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2"/>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3"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5"/>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3" customFormat="1" ht="11.25" customHeight="1">
      <c r="A35" s="702"/>
      <c r="B35" s="152"/>
      <c r="C35" s="153"/>
      <c r="D35" s="158"/>
      <c r="E35" s="156"/>
      <c r="F35" s="159"/>
      <c r="G35" s="11"/>
      <c r="H35" s="343"/>
      <c r="I35" s="345"/>
      <c r="J35" s="787"/>
    </row>
    <row r="36" spans="1:10" ht="19.5" customHeight="1">
      <c r="A36" s="792"/>
      <c r="D36" s="13"/>
      <c r="E36" s="325" t="s">
        <v>51</v>
      </c>
      <c r="F36" s="1810" t="s">
        <v>52</v>
      </c>
      <c r="G36" s="11"/>
    </row>
    <row r="37" spans="1:10" ht="19.5" customHeight="1">
      <c r="A37" s="792"/>
      <c r="D37" s="13"/>
      <c r="E37" s="325" t="s">
        <v>53</v>
      </c>
      <c r="F37" s="1810" t="s">
        <v>54</v>
      </c>
      <c r="G37" s="11"/>
    </row>
    <row r="38" spans="1:10" s="1803"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08" customFormat="1" ht="6" hidden="1" customHeight="1">
      <c r="A40" s="701"/>
      <c r="B40" s="359"/>
      <c r="C40" s="360"/>
      <c r="D40" s="361"/>
      <c r="E40" s="362"/>
      <c r="F40" s="960"/>
      <c r="G40" s="8"/>
      <c r="H40" s="343"/>
      <c r="I40" s="345"/>
      <c r="J40" s="789"/>
    </row>
    <row r="41" spans="1:10" s="1806"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08" customFormat="1" ht="6" customHeight="1">
      <c r="A42" s="701"/>
      <c r="B42" s="359"/>
      <c r="C42" s="360"/>
      <c r="D42" s="361"/>
      <c r="E42" s="362"/>
      <c r="F42" s="960"/>
      <c r="G42" s="8"/>
      <c r="H42" s="343"/>
      <c r="I42" s="345"/>
      <c r="J42" s="787"/>
    </row>
    <row r="43" spans="1:10" s="1806" customFormat="1" ht="22.5" customHeight="1">
      <c r="A43" s="701"/>
      <c r="B43" s="347"/>
      <c r="C43" s="342"/>
      <c r="D43" s="344"/>
      <c r="E43" s="325" t="s">
        <v>57</v>
      </c>
      <c r="F43" s="629" t="s">
        <v>56</v>
      </c>
      <c r="G43" s="8"/>
      <c r="I43" s="345"/>
      <c r="J43" s="789"/>
    </row>
    <row r="44" spans="1:10" s="1806" customFormat="1" ht="22.5" customHeight="1">
      <c r="A44" s="701"/>
      <c r="B44" s="347"/>
      <c r="C44" s="342"/>
      <c r="D44" s="344"/>
      <c r="E44" s="1065" t="s">
        <v>58</v>
      </c>
      <c r="F44" s="1796"/>
      <c r="G44" s="8"/>
      <c r="I44" s="345"/>
      <c r="J44" s="789"/>
    </row>
    <row r="45" spans="1:10" s="1808" customFormat="1" ht="6" customHeight="1">
      <c r="A45" s="701"/>
      <c r="B45" s="359"/>
      <c r="C45" s="360"/>
      <c r="D45" s="361"/>
      <c r="E45" s="362"/>
      <c r="F45" s="960"/>
      <c r="G45" s="8"/>
      <c r="H45" s="343"/>
      <c r="I45" s="345"/>
      <c r="J45" s="789"/>
    </row>
    <row r="46" spans="1:10" s="1808" customFormat="1" ht="22.5" customHeight="1">
      <c r="A46" s="701"/>
      <c r="B46" s="359"/>
      <c r="C46" s="360"/>
      <c r="D46" s="361"/>
      <c r="E46" s="1065" t="s">
        <v>59</v>
      </c>
      <c r="F46" s="629" t="s">
        <v>56</v>
      </c>
      <c r="G46" s="8"/>
      <c r="H46" s="343"/>
      <c r="I46" s="345"/>
      <c r="J46" s="789"/>
    </row>
    <row r="47" spans="1:10" s="1806" customFormat="1" ht="22.5" customHeight="1">
      <c r="A47" s="701"/>
      <c r="B47" s="347"/>
      <c r="C47" s="342"/>
      <c r="D47" s="344"/>
      <c r="E47" s="1065" t="s">
        <v>60</v>
      </c>
      <c r="F47" s="629" t="s">
        <v>61</v>
      </c>
      <c r="G47" s="8"/>
      <c r="I47" s="345"/>
      <c r="J47" s="789"/>
    </row>
    <row r="48" spans="1:10" s="1803"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61</v>
      </c>
      <c r="G49" s="8"/>
    </row>
    <row r="50" spans="1:16" s="1808" customFormat="1" ht="6" hidden="1" customHeight="1">
      <c r="A50" s="702"/>
      <c r="B50" s="359"/>
      <c r="C50" s="360"/>
      <c r="D50" s="158"/>
      <c r="E50" s="156"/>
      <c r="F50" s="159"/>
      <c r="G50" s="11"/>
      <c r="H50" s="343"/>
      <c r="I50" s="345"/>
      <c r="J50" s="789"/>
    </row>
    <row r="51" spans="1:16" s="1811" customFormat="1" ht="22.5" hidden="1" customHeight="1">
      <c r="A51" s="703"/>
      <c r="B51" s="347"/>
      <c r="C51" s="456"/>
      <c r="D51" s="457"/>
      <c r="E51" s="325" t="s">
        <v>62</v>
      </c>
      <c r="F51" s="629" t="s">
        <v>56</v>
      </c>
      <c r="G51" s="458"/>
      <c r="I51" s="459"/>
      <c r="J51" s="791"/>
      <c r="P51" s="460"/>
    </row>
    <row r="52" spans="1:16" s="1808" customFormat="1" ht="6" hidden="1" customHeight="1">
      <c r="A52" s="702"/>
      <c r="B52" s="359"/>
      <c r="C52" s="360"/>
      <c r="D52" s="158"/>
      <c r="E52" s="156"/>
      <c r="F52" s="159"/>
      <c r="G52" s="11"/>
      <c r="H52" s="343"/>
      <c r="I52" s="345"/>
      <c r="J52" s="787"/>
    </row>
    <row r="53" spans="1:16" s="1811" customFormat="1" ht="22.5" hidden="1" customHeight="1">
      <c r="A53" s="703"/>
      <c r="B53" s="347"/>
      <c r="C53" s="456"/>
      <c r="D53" s="457"/>
      <c r="E53" s="325" t="s">
        <v>63</v>
      </c>
      <c r="F53" s="955" t="s">
        <v>56</v>
      </c>
      <c r="G53" s="458"/>
      <c r="I53" s="459"/>
      <c r="J53" s="791"/>
      <c r="P53" s="460"/>
    </row>
    <row r="54" spans="1:16" s="1811" customFormat="1" ht="22.5" hidden="1" customHeight="1">
      <c r="A54" s="703"/>
      <c r="B54" s="347"/>
      <c r="C54" s="456"/>
      <c r="D54" s="457"/>
      <c r="E54" s="325" t="s">
        <v>64</v>
      </c>
      <c r="F54" s="1683"/>
      <c r="G54" s="458"/>
      <c r="I54" s="459"/>
      <c r="J54" s="791"/>
      <c r="P54" s="460"/>
    </row>
    <row r="55" spans="1:16" s="1808" customFormat="1" ht="6" hidden="1" customHeight="1">
      <c r="A55" s="702"/>
      <c r="B55" s="359"/>
      <c r="C55" s="360"/>
      <c r="D55" s="158"/>
      <c r="E55" s="156"/>
      <c r="F55" s="159"/>
      <c r="G55" s="11"/>
      <c r="H55" s="343"/>
      <c r="I55" s="345"/>
      <c r="J55" s="787"/>
    </row>
    <row r="56" spans="1:16" s="1811" customFormat="1" ht="22.5" hidden="1" customHeight="1">
      <c r="A56" s="703"/>
      <c r="B56" s="347"/>
      <c r="C56" s="456"/>
      <c r="D56" s="457"/>
      <c r="E56" s="325" t="s">
        <v>65</v>
      </c>
      <c r="F56" s="955" t="s">
        <v>56</v>
      </c>
      <c r="G56" s="458"/>
      <c r="I56" s="459"/>
      <c r="J56" s="791"/>
      <c r="P56" s="460"/>
    </row>
    <row r="57" spans="1:16" s="1808" customFormat="1" ht="6" hidden="1" customHeight="1">
      <c r="A57" s="702"/>
      <c r="B57" s="359"/>
      <c r="C57" s="360"/>
      <c r="D57" s="158"/>
      <c r="E57" s="156"/>
      <c r="F57" s="159"/>
      <c r="G57" s="11"/>
      <c r="H57" s="343"/>
      <c r="I57" s="345"/>
      <c r="J57" s="787"/>
    </row>
    <row r="58" spans="1:16" s="1811" customFormat="1" ht="15" hidden="1" customHeight="1">
      <c r="A58" s="703"/>
      <c r="B58" s="347"/>
      <c r="C58" s="456"/>
      <c r="D58" s="457"/>
      <c r="E58" s="325" t="s">
        <v>66</v>
      </c>
      <c r="F58" s="955" t="s">
        <v>61</v>
      </c>
      <c r="G58" s="458"/>
      <c r="I58" s="459"/>
      <c r="J58" s="791"/>
      <c r="P58" s="460"/>
    </row>
    <row r="59" spans="1:16" s="1811"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1" customFormat="1" ht="15" hidden="1" customHeight="1">
      <c r="A60" s="703"/>
      <c r="B60" s="347"/>
      <c r="C60" s="456"/>
      <c r="D60" s="457"/>
      <c r="E60" s="1065" t="s">
        <v>67</v>
      </c>
      <c r="F60" s="1051"/>
      <c r="G60" s="458"/>
      <c r="I60" s="459"/>
      <c r="J60" s="791"/>
      <c r="P60" s="460"/>
    </row>
    <row r="61" spans="1:16" s="1808" customFormat="1" ht="6" hidden="1" customHeight="1">
      <c r="A61" s="702"/>
      <c r="B61" s="359"/>
      <c r="C61" s="360"/>
      <c r="D61" s="361"/>
      <c r="E61" s="362"/>
      <c r="F61" s="960"/>
      <c r="G61" s="8"/>
      <c r="H61" s="343"/>
      <c r="I61" s="345"/>
      <c r="J61" s="789"/>
    </row>
    <row r="62" spans="1:16" s="1806" customFormat="1" ht="33.75" hidden="1" customHeight="1">
      <c r="A62" s="702"/>
      <c r="B62" s="31"/>
      <c r="C62" s="342"/>
      <c r="D62" s="344"/>
      <c r="E62" s="1065" t="s">
        <v>68</v>
      </c>
      <c r="F62" s="1581" t="s">
        <v>61</v>
      </c>
      <c r="G62" s="8"/>
      <c r="H62" s="690" t="s">
        <v>18</v>
      </c>
      <c r="I62" s="345"/>
      <c r="J62" s="789"/>
    </row>
    <row r="63" spans="1:16" s="1803" customFormat="1" ht="6" customHeight="1">
      <c r="A63" s="702"/>
      <c r="B63" s="152"/>
      <c r="C63" s="153"/>
      <c r="D63" s="158"/>
      <c r="E63" s="156"/>
      <c r="F63" s="159"/>
      <c r="G63" s="11"/>
      <c r="H63" s="343"/>
      <c r="I63" s="345"/>
      <c r="J63" s="787"/>
    </row>
    <row r="64" spans="1:16" ht="19.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812"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6" hidden="1" customWidth="1"/>
    <col min="13" max="14" width="12.28515625" style="2069" hidden="1" customWidth="1"/>
    <col min="15" max="15" width="23.42578125" style="2069" hidden="1" customWidth="1"/>
    <col min="16" max="16" width="3.7109375" style="6497"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369"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65"/>
      <c r="Q3" s="277"/>
      <c r="R3" s="278"/>
      <c r="S3" s="1369"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369" t="e">
        <f>INDEX(PT_DIFFERENTIATION_NUM_CS,MATCH(C4,PT_DIFFERENTIATION_CS_ID,0))</f>
        <v>#N/A</v>
      </c>
      <c r="T4" s="230" t="s">
        <v>606</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607</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62"/>
      <c r="R5" s="281"/>
      <c r="S5" s="1369"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369"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369"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68"/>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62"/>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370"/>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59"/>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59"/>
      <c r="M19" s="1278"/>
      <c r="N19" s="1278"/>
      <c r="O19" s="1278"/>
      <c r="P19" s="1278"/>
      <c r="Q19" s="1287"/>
      <c r="R19" s="1287"/>
      <c r="S19" s="648"/>
      <c r="AB19" s="1282"/>
      <c r="AI19" s="1282"/>
      <c r="AL19" s="437"/>
      <c r="AM19" s="437"/>
      <c r="AN19" s="437"/>
      <c r="AO19" s="437"/>
      <c r="AP19" s="437"/>
    </row>
    <row r="20" spans="1:42" s="1830" customFormat="1" ht="12" hidden="1" customHeight="1">
      <c r="L20" s="1359"/>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66"/>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64" t="s">
        <v>614</v>
      </c>
      <c r="W38" s="6600" t="s">
        <v>552</v>
      </c>
      <c r="X38" s="6599"/>
      <c r="Y38" s="6600" t="s">
        <v>553</v>
      </c>
      <c r="Z38" s="6605"/>
      <c r="AA38" s="6599"/>
      <c r="AB38" s="6776"/>
      <c r="AC38" s="1364" t="s">
        <v>614</v>
      </c>
      <c r="AD38" s="6600" t="s">
        <v>552</v>
      </c>
      <c r="AE38" s="6599"/>
      <c r="AF38" s="6600" t="s">
        <v>553</v>
      </c>
      <c r="AG38" s="6605"/>
      <c r="AH38" s="6599"/>
      <c r="AI38" s="6776"/>
      <c r="AJ38" s="6779"/>
      <c r="AK38" s="6629"/>
    </row>
    <row r="39" spans="1:42" ht="33.7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64" t="s">
        <v>617</v>
      </c>
      <c r="W39" s="1128" t="s">
        <v>618</v>
      </c>
      <c r="X39" s="1128" t="s">
        <v>619</v>
      </c>
      <c r="Y39" s="1367" t="s">
        <v>563</v>
      </c>
      <c r="Z39" s="6731" t="s">
        <v>564</v>
      </c>
      <c r="AA39" s="6733"/>
      <c r="AB39" s="6777"/>
      <c r="AC39" s="1364" t="s">
        <v>617</v>
      </c>
      <c r="AD39" s="1128" t="s">
        <v>618</v>
      </c>
      <c r="AE39" s="1128" t="s">
        <v>619</v>
      </c>
      <c r="AF39" s="1367" t="s">
        <v>563</v>
      </c>
      <c r="AG39" s="6731" t="s">
        <v>564</v>
      </c>
      <c r="AH39" s="6733"/>
      <c r="AI39" s="6777"/>
      <c r="AJ39" s="6780"/>
      <c r="AK39" s="6629"/>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63">
        <f ca="1">OFFSET(V40,0,-1)+1</f>
        <v>3</v>
      </c>
      <c r="W40" s="1363">
        <f ca="1">OFFSET(W40,0,-1)+1</f>
        <v>4</v>
      </c>
      <c r="X40" s="1363">
        <f ca="1">OFFSET(X40,0,-1)+1</f>
        <v>5</v>
      </c>
      <c r="Y40" s="1363">
        <f ca="1">OFFSET(Y40,0,-1)+1</f>
        <v>6</v>
      </c>
      <c r="Z40" s="6770">
        <f ca="1">OFFSET(Z40,0,-1)+1</f>
        <v>7</v>
      </c>
      <c r="AA40" s="6770"/>
      <c r="AB40" s="1363">
        <f ca="1">OFFSET(AB40,0,-2)+1</f>
        <v>8</v>
      </c>
      <c r="AC40" s="1363">
        <f ca="1">OFFSET(AC40,0,-1)+1</f>
        <v>9</v>
      </c>
      <c r="AD40" s="1363">
        <f ca="1">OFFSET(AD40,0,-1)+1</f>
        <v>10</v>
      </c>
      <c r="AE40" s="1363">
        <f ca="1">OFFSET(AE40,0,-1)+1</f>
        <v>11</v>
      </c>
      <c r="AF40" s="1363">
        <f ca="1">OFFSET(AF40,0,-1)+1</f>
        <v>12</v>
      </c>
      <c r="AG40" s="6770">
        <f ca="1">OFFSET(AG40,0,-1)+1</f>
        <v>13</v>
      </c>
      <c r="AH40" s="6770"/>
      <c r="AI40" s="1363">
        <f ca="1">OFFSET(AI40,0,-2)+1</f>
        <v>14</v>
      </c>
      <c r="AJ40" s="1154">
        <f ca="1">OFFSET(AJ40,0,-1)</f>
        <v>14</v>
      </c>
      <c r="AK40" s="1363">
        <f ca="1">OFFSET(AK40,0,-1)+1</f>
        <v>15</v>
      </c>
      <c r="AL40" s="437"/>
      <c r="AM40" s="437"/>
      <c r="AN40" s="437"/>
      <c r="AO40" s="437"/>
      <c r="AP40" s="437"/>
    </row>
    <row r="41" spans="1:42" ht="23.25" customHeight="1">
      <c r="A41" s="1279" t="s">
        <v>349</v>
      </c>
      <c r="B41" s="1279"/>
      <c r="C41" s="1279"/>
      <c r="D41" s="1279"/>
      <c r="E41" s="6763">
        <v>1</v>
      </c>
      <c r="F41" s="1279"/>
      <c r="G41" s="1279"/>
      <c r="H41" s="1279"/>
      <c r="I41" s="1279"/>
      <c r="J41" s="1279"/>
      <c r="K41" s="1279"/>
      <c r="L41" s="1280"/>
      <c r="M41" s="1281"/>
      <c r="N41" s="1281"/>
      <c r="O41" s="1281"/>
      <c r="P41" s="286"/>
      <c r="Q41" s="285"/>
      <c r="R41" s="280"/>
      <c r="S41" s="1369">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349</v>
      </c>
      <c r="B42" s="1279" t="s">
        <v>350</v>
      </c>
      <c r="C42" s="1279"/>
      <c r="D42" s="1279"/>
      <c r="E42" s="6764"/>
      <c r="F42" s="6763">
        <v>1</v>
      </c>
      <c r="G42" s="1279"/>
      <c r="H42" s="1279"/>
      <c r="I42" s="1279"/>
      <c r="J42" s="1279"/>
      <c r="K42" s="1279"/>
      <c r="L42" s="1280"/>
      <c r="M42" s="1281"/>
      <c r="N42" s="1281"/>
      <c r="O42" s="1281"/>
      <c r="P42" s="1365"/>
      <c r="Q42" s="277"/>
      <c r="R42" s="278"/>
      <c r="S42" s="1369"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349</v>
      </c>
      <c r="B43" s="1279" t="s">
        <v>350</v>
      </c>
      <c r="C43" s="1279" t="s">
        <v>351</v>
      </c>
      <c r="D43" s="1279"/>
      <c r="E43" s="6764"/>
      <c r="F43" s="6764"/>
      <c r="G43" s="6763">
        <v>1</v>
      </c>
      <c r="H43" s="1279"/>
      <c r="I43" s="1279"/>
      <c r="J43" s="1279"/>
      <c r="K43" s="1279"/>
      <c r="L43" s="1280"/>
      <c r="M43" s="1281"/>
      <c r="N43" s="1281"/>
      <c r="O43" s="1281"/>
      <c r="P43" s="279"/>
      <c r="Q43" s="277"/>
      <c r="R43" s="278"/>
      <c r="S43" s="1369" t="str">
        <f>INDEX(PT_DIFFERENTIATION_NUM_CS,MATCH(C43,PT_DIFFERENTIATION_CS_ID,0))</f>
        <v>..</v>
      </c>
      <c r="T43" s="230" t="s">
        <v>606</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607</v>
      </c>
      <c r="AM43" s="426"/>
      <c r="AN43" s="426" t="str">
        <f t="shared" si="1"/>
        <v>Наименование централизованной системы холодного водоснабжения</v>
      </c>
      <c r="AO43" s="426"/>
      <c r="AP43" s="426"/>
    </row>
    <row r="44" spans="1:42" ht="23.25" customHeight="1">
      <c r="A44" s="1279" t="s">
        <v>349</v>
      </c>
      <c r="B44" s="1279" t="s">
        <v>350</v>
      </c>
      <c r="C44" s="1279" t="s">
        <v>351</v>
      </c>
      <c r="D44" s="1279" t="s">
        <v>621</v>
      </c>
      <c r="E44" s="6764"/>
      <c r="F44" s="6764"/>
      <c r="G44" s="6764"/>
      <c r="H44" s="6764"/>
      <c r="I44" s="6761" t="str">
        <f>S43&amp;".1"</f>
        <v>...1</v>
      </c>
      <c r="J44" s="1279"/>
      <c r="K44" s="1279"/>
      <c r="L44" s="1280"/>
      <c r="P44" s="6762">
        <v>1</v>
      </c>
      <c r="Q44" s="1362"/>
      <c r="R44" s="281"/>
      <c r="S44" s="1369"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349</v>
      </c>
      <c r="B45" s="1279" t="s">
        <v>350</v>
      </c>
      <c r="C45" s="1279" t="s">
        <v>351</v>
      </c>
      <c r="D45" s="1279" t="s">
        <v>621</v>
      </c>
      <c r="E45" s="6764"/>
      <c r="F45" s="6764"/>
      <c r="G45" s="6764"/>
      <c r="H45" s="6764"/>
      <c r="I45" s="6784"/>
      <c r="J45" s="6761" t="str">
        <f>I44&amp;".1"</f>
        <v>...1.1</v>
      </c>
      <c r="K45" s="1279"/>
      <c r="L45" s="1280" t="s">
        <v>526</v>
      </c>
      <c r="P45" s="6762"/>
      <c r="Q45" s="6762">
        <v>1</v>
      </c>
      <c r="R45" s="282"/>
      <c r="S45" s="1369"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349</v>
      </c>
      <c r="B46" s="1279" t="s">
        <v>350</v>
      </c>
      <c r="C46" s="1279" t="s">
        <v>351</v>
      </c>
      <c r="D46" s="1279" t="s">
        <v>621</v>
      </c>
      <c r="E46" s="6764"/>
      <c r="F46" s="6764"/>
      <c r="G46" s="6764"/>
      <c r="H46" s="6764"/>
      <c r="I46" s="6784"/>
      <c r="J46" s="6784"/>
      <c r="K46" s="6761" t="str">
        <f>J45&amp;".1"</f>
        <v>...1.1.1</v>
      </c>
      <c r="L46" s="1280"/>
      <c r="P46" s="6762"/>
      <c r="Q46" s="6762"/>
      <c r="R46" s="282">
        <v>1</v>
      </c>
      <c r="S46" s="1369" t="str">
        <f>$K46</f>
        <v>...1.1.1</v>
      </c>
      <c r="T46" s="1351"/>
      <c r="U46" s="219"/>
      <c r="V46" s="668"/>
      <c r="W46" s="668"/>
      <c r="X46" s="1176"/>
      <c r="Y46" s="6766"/>
      <c r="Z46" s="6610" t="s">
        <v>61</v>
      </c>
      <c r="AA46" s="6766"/>
      <c r="AB46" s="6610" t="s">
        <v>61</v>
      </c>
      <c r="AC46" s="668"/>
      <c r="AD46" s="668"/>
      <c r="AE46" s="1176"/>
      <c r="AF46" s="6766"/>
      <c r="AG46" s="6610" t="s">
        <v>61</v>
      </c>
      <c r="AH46" s="6785"/>
      <c r="AI46" s="6610" t="s">
        <v>61</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349</v>
      </c>
      <c r="B47" s="1279" t="s">
        <v>350</v>
      </c>
      <c r="C47" s="1279" t="s">
        <v>351</v>
      </c>
      <c r="D47" s="1279" t="s">
        <v>621</v>
      </c>
      <c r="E47" s="6764"/>
      <c r="F47" s="6764"/>
      <c r="G47" s="6764"/>
      <c r="H47" s="6764"/>
      <c r="I47" s="6784"/>
      <c r="J47" s="6784"/>
      <c r="K47" s="6761"/>
      <c r="L47" s="1280"/>
      <c r="P47" s="6762"/>
      <c r="Q47" s="6762"/>
      <c r="R47" s="282"/>
      <c r="S47" s="1368"/>
      <c r="T47" s="219"/>
      <c r="U47" s="219"/>
      <c r="V47" s="251"/>
      <c r="W47" s="251"/>
      <c r="X47" s="255" t="str">
        <f>Y46&amp;"-"&amp;AA46</f>
        <v>-</v>
      </c>
      <c r="Y47" s="6767"/>
      <c r="Z47" s="6610"/>
      <c r="AA47" s="6767"/>
      <c r="AB47" s="6610"/>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349</v>
      </c>
      <c r="B48" s="1279" t="s">
        <v>350</v>
      </c>
      <c r="C48" s="1279" t="s">
        <v>351</v>
      </c>
      <c r="D48" s="1279" t="s">
        <v>621</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349</v>
      </c>
      <c r="B49" s="1279" t="s">
        <v>350</v>
      </c>
      <c r="C49" s="1279" t="s">
        <v>351</v>
      </c>
      <c r="D49" s="1279" t="s">
        <v>621</v>
      </c>
      <c r="E49" s="6764"/>
      <c r="F49" s="6764"/>
      <c r="G49" s="6764"/>
      <c r="H49" s="6764"/>
      <c r="I49" s="6761"/>
      <c r="J49" s="1279"/>
      <c r="K49" s="1279"/>
      <c r="L49" s="1280"/>
      <c r="P49" s="6762"/>
      <c r="Q49" s="1362"/>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349</v>
      </c>
      <c r="B50" s="1279" t="s">
        <v>350</v>
      </c>
      <c r="C50" s="1279" t="s">
        <v>351</v>
      </c>
      <c r="D50" s="1279" t="s">
        <v>621</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349</v>
      </c>
      <c r="B51" s="1260" t="s">
        <v>350</v>
      </c>
      <c r="C51" s="1232"/>
      <c r="D51" s="1232"/>
      <c r="E51" s="6764"/>
      <c r="F51" s="6763"/>
      <c r="G51" s="1232"/>
      <c r="H51" s="1232"/>
      <c r="I51" s="1232"/>
      <c r="J51" s="1232"/>
      <c r="K51" s="1232"/>
      <c r="L51" s="1370"/>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349</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370"/>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6" hidden="1" customWidth="1"/>
    <col min="13" max="14" width="12.28515625" style="2069" hidden="1" customWidth="1"/>
    <col min="15" max="15" width="23.42578125" style="2069" hidden="1" customWidth="1"/>
    <col min="16" max="16" width="3.7109375" style="6497"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369"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65"/>
      <c r="Q3" s="277"/>
      <c r="R3" s="278"/>
      <c r="S3" s="1369"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369" t="e">
        <f>INDEX(PT_DIFFERENTIATION_NUM_CS,MATCH(C4,PT_DIFFERENTIATION_CS_ID,0))</f>
        <v>#N/A</v>
      </c>
      <c r="T4" s="230" t="s">
        <v>606</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607</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62"/>
      <c r="R5" s="281"/>
      <c r="S5" s="1369"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369"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369"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68"/>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62"/>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370"/>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59"/>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59"/>
      <c r="M19" s="1278"/>
      <c r="N19" s="1278"/>
      <c r="O19" s="1278"/>
      <c r="P19" s="1278"/>
      <c r="Q19" s="1287"/>
      <c r="R19" s="1287"/>
      <c r="S19" s="648"/>
      <c r="AB19" s="1282"/>
      <c r="AI19" s="1282"/>
      <c r="AL19" s="437"/>
      <c r="AM19" s="437"/>
      <c r="AN19" s="437"/>
      <c r="AO19" s="437"/>
      <c r="AP19" s="437"/>
    </row>
    <row r="20" spans="1:42" s="1830" customFormat="1" ht="12" hidden="1" customHeight="1">
      <c r="L20" s="1359"/>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66"/>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64" t="s">
        <v>614</v>
      </c>
      <c r="W38" s="6600" t="s">
        <v>552</v>
      </c>
      <c r="X38" s="6599"/>
      <c r="Y38" s="6600" t="s">
        <v>553</v>
      </c>
      <c r="Z38" s="6605"/>
      <c r="AA38" s="6599"/>
      <c r="AB38" s="6776"/>
      <c r="AC38" s="1364" t="s">
        <v>614</v>
      </c>
      <c r="AD38" s="6600" t="s">
        <v>552</v>
      </c>
      <c r="AE38" s="6599"/>
      <c r="AF38" s="6600" t="s">
        <v>553</v>
      </c>
      <c r="AG38" s="6605"/>
      <c r="AH38" s="6599"/>
      <c r="AI38" s="6776"/>
      <c r="AJ38" s="6779"/>
      <c r="AK38" s="6629"/>
    </row>
    <row r="39" spans="1:42" ht="33.7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64" t="s">
        <v>617</v>
      </c>
      <c r="W39" s="1128" t="s">
        <v>618</v>
      </c>
      <c r="X39" s="1128" t="s">
        <v>619</v>
      </c>
      <c r="Y39" s="1367" t="s">
        <v>563</v>
      </c>
      <c r="Z39" s="6731" t="s">
        <v>564</v>
      </c>
      <c r="AA39" s="6733"/>
      <c r="AB39" s="6777"/>
      <c r="AC39" s="1364" t="s">
        <v>617</v>
      </c>
      <c r="AD39" s="1128" t="s">
        <v>618</v>
      </c>
      <c r="AE39" s="1128" t="s">
        <v>619</v>
      </c>
      <c r="AF39" s="1367" t="s">
        <v>563</v>
      </c>
      <c r="AG39" s="6731" t="s">
        <v>564</v>
      </c>
      <c r="AH39" s="6733"/>
      <c r="AI39" s="6777"/>
      <c r="AJ39" s="6780"/>
      <c r="AK39" s="6629"/>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63">
        <f ca="1">OFFSET(V40,0,-1)+1</f>
        <v>3</v>
      </c>
      <c r="W40" s="1363">
        <f ca="1">OFFSET(W40,0,-1)+1</f>
        <v>4</v>
      </c>
      <c r="X40" s="1363">
        <f ca="1">OFFSET(X40,0,-1)+1</f>
        <v>5</v>
      </c>
      <c r="Y40" s="1363">
        <f ca="1">OFFSET(Y40,0,-1)+1</f>
        <v>6</v>
      </c>
      <c r="Z40" s="6770">
        <f ca="1">OFFSET(Z40,0,-1)+1</f>
        <v>7</v>
      </c>
      <c r="AA40" s="6770"/>
      <c r="AB40" s="1363">
        <f ca="1">OFFSET(AB40,0,-2)+1</f>
        <v>8</v>
      </c>
      <c r="AC40" s="1363">
        <f ca="1">OFFSET(AC40,0,-1)+1</f>
        <v>9</v>
      </c>
      <c r="AD40" s="1363">
        <f ca="1">OFFSET(AD40,0,-1)+1</f>
        <v>10</v>
      </c>
      <c r="AE40" s="1363">
        <f ca="1">OFFSET(AE40,0,-1)+1</f>
        <v>11</v>
      </c>
      <c r="AF40" s="1363">
        <f ca="1">OFFSET(AF40,0,-1)+1</f>
        <v>12</v>
      </c>
      <c r="AG40" s="6770">
        <f ca="1">OFFSET(AG40,0,-1)+1</f>
        <v>13</v>
      </c>
      <c r="AH40" s="6770"/>
      <c r="AI40" s="1363">
        <f ca="1">OFFSET(AI40,0,-2)+1</f>
        <v>14</v>
      </c>
      <c r="AJ40" s="1154">
        <f ca="1">OFFSET(AJ40,0,-1)</f>
        <v>14</v>
      </c>
      <c r="AK40" s="1363">
        <f ca="1">OFFSET(AK40,0,-1)+1</f>
        <v>15</v>
      </c>
      <c r="AL40" s="437"/>
      <c r="AM40" s="437"/>
      <c r="AN40" s="437"/>
      <c r="AO40" s="437"/>
      <c r="AP40" s="437"/>
    </row>
    <row r="41" spans="1:42" ht="23.25" customHeight="1">
      <c r="A41" s="1279" t="s">
        <v>354</v>
      </c>
      <c r="B41" s="1279"/>
      <c r="C41" s="1279"/>
      <c r="D41" s="1279"/>
      <c r="E41" s="6763">
        <v>1</v>
      </c>
      <c r="F41" s="1279"/>
      <c r="G41" s="1279"/>
      <c r="H41" s="1279"/>
      <c r="I41" s="1279"/>
      <c r="J41" s="1279"/>
      <c r="K41" s="1279"/>
      <c r="L41" s="1280"/>
      <c r="M41" s="1281"/>
      <c r="N41" s="1281"/>
      <c r="O41" s="1281"/>
      <c r="P41" s="286"/>
      <c r="Q41" s="285"/>
      <c r="R41" s="280"/>
      <c r="S41" s="1369">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354</v>
      </c>
      <c r="B42" s="1279" t="s">
        <v>355</v>
      </c>
      <c r="C42" s="1279"/>
      <c r="D42" s="1279"/>
      <c r="E42" s="6764"/>
      <c r="F42" s="6763">
        <v>1</v>
      </c>
      <c r="G42" s="1279"/>
      <c r="H42" s="1279"/>
      <c r="I42" s="1279"/>
      <c r="J42" s="1279"/>
      <c r="K42" s="1279"/>
      <c r="L42" s="1280"/>
      <c r="M42" s="1281"/>
      <c r="N42" s="1281"/>
      <c r="O42" s="1281"/>
      <c r="P42" s="1365"/>
      <c r="Q42" s="277"/>
      <c r="R42" s="278"/>
      <c r="S42" s="1369"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354</v>
      </c>
      <c r="B43" s="1279" t="s">
        <v>355</v>
      </c>
      <c r="C43" s="1279" t="s">
        <v>356</v>
      </c>
      <c r="D43" s="1279"/>
      <c r="E43" s="6764"/>
      <c r="F43" s="6764"/>
      <c r="G43" s="6763">
        <v>1</v>
      </c>
      <c r="H43" s="1279"/>
      <c r="I43" s="1279"/>
      <c r="J43" s="1279"/>
      <c r="K43" s="1279"/>
      <c r="L43" s="1280"/>
      <c r="M43" s="1281"/>
      <c r="N43" s="1281"/>
      <c r="O43" s="1281"/>
      <c r="P43" s="279"/>
      <c r="Q43" s="277"/>
      <c r="R43" s="278"/>
      <c r="S43" s="1369" t="str">
        <f>INDEX(PT_DIFFERENTIATION_NUM_CS,MATCH(C43,PT_DIFFERENTIATION_CS_ID,0))</f>
        <v>..</v>
      </c>
      <c r="T43" s="230" t="s">
        <v>606</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607</v>
      </c>
      <c r="AM43" s="426"/>
      <c r="AN43" s="426" t="str">
        <f t="shared" si="1"/>
        <v>Наименование централизованной системы холодного водоснабжения</v>
      </c>
      <c r="AO43" s="426"/>
      <c r="AP43" s="426"/>
    </row>
    <row r="44" spans="1:42" ht="23.25" customHeight="1">
      <c r="A44" s="1279" t="s">
        <v>354</v>
      </c>
      <c r="B44" s="1279" t="s">
        <v>355</v>
      </c>
      <c r="C44" s="1279" t="s">
        <v>356</v>
      </c>
      <c r="D44" s="1279" t="s">
        <v>622</v>
      </c>
      <c r="E44" s="6764"/>
      <c r="F44" s="6764"/>
      <c r="G44" s="6764"/>
      <c r="H44" s="6764"/>
      <c r="I44" s="6761" t="str">
        <f>S43&amp;".1"</f>
        <v>...1</v>
      </c>
      <c r="J44" s="1279"/>
      <c r="K44" s="1279"/>
      <c r="L44" s="1280"/>
      <c r="P44" s="6762">
        <v>1</v>
      </c>
      <c r="Q44" s="1362"/>
      <c r="R44" s="281"/>
      <c r="S44" s="1369"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354</v>
      </c>
      <c r="B45" s="1279" t="s">
        <v>355</v>
      </c>
      <c r="C45" s="1279" t="s">
        <v>356</v>
      </c>
      <c r="D45" s="1279" t="s">
        <v>622</v>
      </c>
      <c r="E45" s="6764"/>
      <c r="F45" s="6764"/>
      <c r="G45" s="6764"/>
      <c r="H45" s="6764"/>
      <c r="I45" s="6784"/>
      <c r="J45" s="6761" t="str">
        <f>I44&amp;".1"</f>
        <v>...1.1</v>
      </c>
      <c r="K45" s="1279"/>
      <c r="L45" s="1280" t="s">
        <v>526</v>
      </c>
      <c r="P45" s="6762"/>
      <c r="Q45" s="6762">
        <v>1</v>
      </c>
      <c r="R45" s="282"/>
      <c r="S45" s="1369"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354</v>
      </c>
      <c r="B46" s="1279" t="s">
        <v>355</v>
      </c>
      <c r="C46" s="1279" t="s">
        <v>356</v>
      </c>
      <c r="D46" s="1279" t="s">
        <v>622</v>
      </c>
      <c r="E46" s="6764"/>
      <c r="F46" s="6764"/>
      <c r="G46" s="6764"/>
      <c r="H46" s="6764"/>
      <c r="I46" s="6784"/>
      <c r="J46" s="6784"/>
      <c r="K46" s="6761" t="str">
        <f>J45&amp;".1"</f>
        <v>...1.1.1</v>
      </c>
      <c r="L46" s="1280"/>
      <c r="P46" s="6762"/>
      <c r="Q46" s="6762"/>
      <c r="R46" s="282">
        <v>1</v>
      </c>
      <c r="S46" s="1369" t="str">
        <f>$K46</f>
        <v>...1.1.1</v>
      </c>
      <c r="T46" s="1351"/>
      <c r="U46" s="219"/>
      <c r="V46" s="668"/>
      <c r="W46" s="668"/>
      <c r="X46" s="1176"/>
      <c r="Y46" s="6766"/>
      <c r="Z46" s="6610" t="s">
        <v>61</v>
      </c>
      <c r="AA46" s="6766"/>
      <c r="AB46" s="6610" t="s">
        <v>61</v>
      </c>
      <c r="AC46" s="668"/>
      <c r="AD46" s="668"/>
      <c r="AE46" s="1176"/>
      <c r="AF46" s="6766"/>
      <c r="AG46" s="6610" t="s">
        <v>61</v>
      </c>
      <c r="AH46" s="6785"/>
      <c r="AI46" s="6610" t="s">
        <v>61</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354</v>
      </c>
      <c r="B47" s="1279" t="s">
        <v>355</v>
      </c>
      <c r="C47" s="1279" t="s">
        <v>356</v>
      </c>
      <c r="D47" s="1279" t="s">
        <v>622</v>
      </c>
      <c r="E47" s="6764"/>
      <c r="F47" s="6764"/>
      <c r="G47" s="6764"/>
      <c r="H47" s="6764"/>
      <c r="I47" s="6784"/>
      <c r="J47" s="6784"/>
      <c r="K47" s="6761"/>
      <c r="L47" s="1280"/>
      <c r="P47" s="6762"/>
      <c r="Q47" s="6762"/>
      <c r="R47" s="282"/>
      <c r="S47" s="1368"/>
      <c r="T47" s="219"/>
      <c r="U47" s="219"/>
      <c r="V47" s="251"/>
      <c r="W47" s="251"/>
      <c r="X47" s="255" t="str">
        <f>Y46&amp;"-"&amp;AA46</f>
        <v>-</v>
      </c>
      <c r="Y47" s="6767"/>
      <c r="Z47" s="6610"/>
      <c r="AA47" s="6767"/>
      <c r="AB47" s="6610"/>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354</v>
      </c>
      <c r="B48" s="1279" t="s">
        <v>355</v>
      </c>
      <c r="C48" s="1279" t="s">
        <v>356</v>
      </c>
      <c r="D48" s="1279" t="s">
        <v>622</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354</v>
      </c>
      <c r="B49" s="1279" t="s">
        <v>355</v>
      </c>
      <c r="C49" s="1279" t="s">
        <v>356</v>
      </c>
      <c r="D49" s="1279" t="s">
        <v>622</v>
      </c>
      <c r="E49" s="6764"/>
      <c r="F49" s="6764"/>
      <c r="G49" s="6764"/>
      <c r="H49" s="6764"/>
      <c r="I49" s="6761"/>
      <c r="J49" s="1279"/>
      <c r="K49" s="1279"/>
      <c r="L49" s="1280"/>
      <c r="P49" s="6762"/>
      <c r="Q49" s="1362"/>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354</v>
      </c>
      <c r="B50" s="1279" t="s">
        <v>355</v>
      </c>
      <c r="C50" s="1279" t="s">
        <v>356</v>
      </c>
      <c r="D50" s="1279" t="s">
        <v>622</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354</v>
      </c>
      <c r="B51" s="1260" t="s">
        <v>355</v>
      </c>
      <c r="C51" s="1232"/>
      <c r="D51" s="1232"/>
      <c r="E51" s="6764"/>
      <c r="F51" s="6763"/>
      <c r="G51" s="1232"/>
      <c r="H51" s="1232"/>
      <c r="I51" s="1232"/>
      <c r="J51" s="1232"/>
      <c r="K51" s="1232"/>
      <c r="L51" s="1370"/>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354</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370"/>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6" hidden="1" customWidth="1"/>
    <col min="13" max="14" width="12.28515625" style="2069" hidden="1" customWidth="1"/>
    <col min="15" max="15" width="23.42578125" style="2069" hidden="1" customWidth="1"/>
    <col min="16" max="16" width="3.7109375" style="6497"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369"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65"/>
      <c r="Q3" s="277"/>
      <c r="R3" s="278"/>
      <c r="S3" s="1369"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369" t="e">
        <f>INDEX(PT_DIFFERENTIATION_NUM_CS,MATCH(C4,PT_DIFFERENTIATION_CS_ID,0))</f>
        <v>#N/A</v>
      </c>
      <c r="T4" s="230" t="s">
        <v>606</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607</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62"/>
      <c r="R5" s="281"/>
      <c r="S5" s="1369"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369"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369"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68"/>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62"/>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370"/>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59"/>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59"/>
      <c r="M19" s="1278"/>
      <c r="N19" s="1278"/>
      <c r="O19" s="1278"/>
      <c r="P19" s="1278"/>
      <c r="Q19" s="1287"/>
      <c r="R19" s="1287"/>
      <c r="S19" s="648"/>
      <c r="AB19" s="1282"/>
      <c r="AI19" s="1282"/>
      <c r="AL19" s="437"/>
      <c r="AM19" s="437"/>
      <c r="AN19" s="437"/>
      <c r="AO19" s="437"/>
      <c r="AP19" s="437"/>
    </row>
    <row r="20" spans="1:42" s="1830" customFormat="1" ht="12" hidden="1" customHeight="1">
      <c r="L20" s="1359"/>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66"/>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64" t="s">
        <v>614</v>
      </c>
      <c r="W38" s="6600" t="s">
        <v>552</v>
      </c>
      <c r="X38" s="6599"/>
      <c r="Y38" s="6600" t="s">
        <v>553</v>
      </c>
      <c r="Z38" s="6605"/>
      <c r="AA38" s="6599"/>
      <c r="AB38" s="6776"/>
      <c r="AC38" s="1364" t="s">
        <v>614</v>
      </c>
      <c r="AD38" s="6600" t="s">
        <v>552</v>
      </c>
      <c r="AE38" s="6599"/>
      <c r="AF38" s="6600" t="s">
        <v>553</v>
      </c>
      <c r="AG38" s="6605"/>
      <c r="AH38" s="6599"/>
      <c r="AI38" s="6776"/>
      <c r="AJ38" s="6779"/>
      <c r="AK38" s="6629"/>
    </row>
    <row r="39" spans="1:42" ht="33.7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64" t="s">
        <v>617</v>
      </c>
      <c r="W39" s="1128" t="s">
        <v>618</v>
      </c>
      <c r="X39" s="1128" t="s">
        <v>619</v>
      </c>
      <c r="Y39" s="1367" t="s">
        <v>563</v>
      </c>
      <c r="Z39" s="6731" t="s">
        <v>564</v>
      </c>
      <c r="AA39" s="6733"/>
      <c r="AB39" s="6777"/>
      <c r="AC39" s="1364" t="s">
        <v>617</v>
      </c>
      <c r="AD39" s="1128" t="s">
        <v>618</v>
      </c>
      <c r="AE39" s="1128" t="s">
        <v>619</v>
      </c>
      <c r="AF39" s="1367" t="s">
        <v>563</v>
      </c>
      <c r="AG39" s="6731" t="s">
        <v>564</v>
      </c>
      <c r="AH39" s="6733"/>
      <c r="AI39" s="6777"/>
      <c r="AJ39" s="6780"/>
      <c r="AK39" s="6629"/>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63">
        <f ca="1">OFFSET(V40,0,-1)+1</f>
        <v>3</v>
      </c>
      <c r="W40" s="1363">
        <f ca="1">OFFSET(W40,0,-1)+1</f>
        <v>4</v>
      </c>
      <c r="X40" s="1363">
        <f ca="1">OFFSET(X40,0,-1)+1</f>
        <v>5</v>
      </c>
      <c r="Y40" s="1363">
        <f ca="1">OFFSET(Y40,0,-1)+1</f>
        <v>6</v>
      </c>
      <c r="Z40" s="6770">
        <f ca="1">OFFSET(Z40,0,-1)+1</f>
        <v>7</v>
      </c>
      <c r="AA40" s="6770"/>
      <c r="AB40" s="1363">
        <f ca="1">OFFSET(AB40,0,-2)+1</f>
        <v>8</v>
      </c>
      <c r="AC40" s="1363">
        <f ca="1">OFFSET(AC40,0,-1)+1</f>
        <v>9</v>
      </c>
      <c r="AD40" s="1363">
        <f ca="1">OFFSET(AD40,0,-1)+1</f>
        <v>10</v>
      </c>
      <c r="AE40" s="1363">
        <f ca="1">OFFSET(AE40,0,-1)+1</f>
        <v>11</v>
      </c>
      <c r="AF40" s="1363">
        <f ca="1">OFFSET(AF40,0,-1)+1</f>
        <v>12</v>
      </c>
      <c r="AG40" s="6770">
        <f ca="1">OFFSET(AG40,0,-1)+1</f>
        <v>13</v>
      </c>
      <c r="AH40" s="6770"/>
      <c r="AI40" s="1363">
        <f ca="1">OFFSET(AI40,0,-2)+1</f>
        <v>14</v>
      </c>
      <c r="AJ40" s="1154">
        <f ca="1">OFFSET(AJ40,0,-1)</f>
        <v>14</v>
      </c>
      <c r="AK40" s="1363">
        <f ca="1">OFFSET(AK40,0,-1)+1</f>
        <v>15</v>
      </c>
      <c r="AL40" s="437"/>
      <c r="AM40" s="437"/>
      <c r="AN40" s="437"/>
      <c r="AO40" s="437"/>
      <c r="AP40" s="437"/>
    </row>
    <row r="41" spans="1:42" ht="23.25" customHeight="1">
      <c r="A41" s="1279" t="s">
        <v>359</v>
      </c>
      <c r="B41" s="1279"/>
      <c r="C41" s="1279"/>
      <c r="D41" s="1279"/>
      <c r="E41" s="6763">
        <v>1</v>
      </c>
      <c r="F41" s="1279"/>
      <c r="G41" s="1279"/>
      <c r="H41" s="1279"/>
      <c r="I41" s="1279"/>
      <c r="J41" s="1279"/>
      <c r="K41" s="1279"/>
      <c r="L41" s="1280"/>
      <c r="M41" s="1281"/>
      <c r="N41" s="1281"/>
      <c r="O41" s="1281"/>
      <c r="P41" s="286"/>
      <c r="Q41" s="285"/>
      <c r="R41" s="280"/>
      <c r="S41" s="1369">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359</v>
      </c>
      <c r="B42" s="1279" t="s">
        <v>360</v>
      </c>
      <c r="C42" s="1279"/>
      <c r="D42" s="1279"/>
      <c r="E42" s="6764"/>
      <c r="F42" s="6763">
        <v>1</v>
      </c>
      <c r="G42" s="1279"/>
      <c r="H42" s="1279"/>
      <c r="I42" s="1279"/>
      <c r="J42" s="1279"/>
      <c r="K42" s="1279"/>
      <c r="L42" s="1280"/>
      <c r="M42" s="1281"/>
      <c r="N42" s="1281"/>
      <c r="O42" s="1281"/>
      <c r="P42" s="1365"/>
      <c r="Q42" s="277"/>
      <c r="R42" s="278"/>
      <c r="S42" s="1369"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359</v>
      </c>
      <c r="B43" s="1279" t="s">
        <v>360</v>
      </c>
      <c r="C43" s="1279" t="s">
        <v>361</v>
      </c>
      <c r="D43" s="1279"/>
      <c r="E43" s="6764"/>
      <c r="F43" s="6764"/>
      <c r="G43" s="6763">
        <v>1</v>
      </c>
      <c r="H43" s="1279"/>
      <c r="I43" s="1279"/>
      <c r="J43" s="1279"/>
      <c r="K43" s="1279"/>
      <c r="L43" s="1280"/>
      <c r="M43" s="1281"/>
      <c r="N43" s="1281"/>
      <c r="O43" s="1281"/>
      <c r="P43" s="279"/>
      <c r="Q43" s="277"/>
      <c r="R43" s="278"/>
      <c r="S43" s="1369" t="str">
        <f>INDEX(PT_DIFFERENTIATION_NUM_CS,MATCH(C43,PT_DIFFERENTIATION_CS_ID,0))</f>
        <v>..</v>
      </c>
      <c r="T43" s="230" t="s">
        <v>606</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607</v>
      </c>
      <c r="AM43" s="426"/>
      <c r="AN43" s="426" t="str">
        <f t="shared" si="1"/>
        <v>Наименование централизованной системы холодного водоснабжения</v>
      </c>
      <c r="AO43" s="426"/>
      <c r="AP43" s="426"/>
    </row>
    <row r="44" spans="1:42" ht="23.25" customHeight="1">
      <c r="A44" s="1279" t="s">
        <v>359</v>
      </c>
      <c r="B44" s="1279" t="s">
        <v>360</v>
      </c>
      <c r="C44" s="1279" t="s">
        <v>361</v>
      </c>
      <c r="D44" s="1279" t="s">
        <v>623</v>
      </c>
      <c r="E44" s="6764"/>
      <c r="F44" s="6764"/>
      <c r="G44" s="6764"/>
      <c r="H44" s="6764"/>
      <c r="I44" s="6761" t="str">
        <f>S43&amp;".1"</f>
        <v>...1</v>
      </c>
      <c r="J44" s="1279"/>
      <c r="K44" s="1279"/>
      <c r="L44" s="1280"/>
      <c r="P44" s="6762">
        <v>1</v>
      </c>
      <c r="Q44" s="1362"/>
      <c r="R44" s="281"/>
      <c r="S44" s="1369"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359</v>
      </c>
      <c r="B45" s="1279" t="s">
        <v>360</v>
      </c>
      <c r="C45" s="1279" t="s">
        <v>361</v>
      </c>
      <c r="D45" s="1279" t="s">
        <v>623</v>
      </c>
      <c r="E45" s="6764"/>
      <c r="F45" s="6764"/>
      <c r="G45" s="6764"/>
      <c r="H45" s="6764"/>
      <c r="I45" s="6784"/>
      <c r="J45" s="6761" t="str">
        <f>I44&amp;".1"</f>
        <v>...1.1</v>
      </c>
      <c r="K45" s="1279"/>
      <c r="L45" s="1280" t="s">
        <v>526</v>
      </c>
      <c r="P45" s="6762"/>
      <c r="Q45" s="6762">
        <v>1</v>
      </c>
      <c r="R45" s="282"/>
      <c r="S45" s="1369"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359</v>
      </c>
      <c r="B46" s="1279" t="s">
        <v>360</v>
      </c>
      <c r="C46" s="1279" t="s">
        <v>361</v>
      </c>
      <c r="D46" s="1279" t="s">
        <v>623</v>
      </c>
      <c r="E46" s="6764"/>
      <c r="F46" s="6764"/>
      <c r="G46" s="6764"/>
      <c r="H46" s="6764"/>
      <c r="I46" s="6784"/>
      <c r="J46" s="6784"/>
      <c r="K46" s="6761" t="str">
        <f>J45&amp;".1"</f>
        <v>...1.1.1</v>
      </c>
      <c r="L46" s="1280"/>
      <c r="P46" s="6762"/>
      <c r="Q46" s="6762"/>
      <c r="R46" s="282">
        <v>1</v>
      </c>
      <c r="S46" s="1369" t="str">
        <f>$K46</f>
        <v>...1.1.1</v>
      </c>
      <c r="T46" s="1351"/>
      <c r="U46" s="219"/>
      <c r="V46" s="668"/>
      <c r="W46" s="668"/>
      <c r="X46" s="1176"/>
      <c r="Y46" s="6766"/>
      <c r="Z46" s="6610" t="s">
        <v>61</v>
      </c>
      <c r="AA46" s="6766"/>
      <c r="AB46" s="6610" t="s">
        <v>61</v>
      </c>
      <c r="AC46" s="668"/>
      <c r="AD46" s="668"/>
      <c r="AE46" s="1176"/>
      <c r="AF46" s="6766"/>
      <c r="AG46" s="6610" t="s">
        <v>61</v>
      </c>
      <c r="AH46" s="6785"/>
      <c r="AI46" s="6610" t="s">
        <v>61</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359</v>
      </c>
      <c r="B47" s="1279" t="s">
        <v>360</v>
      </c>
      <c r="C47" s="1279" t="s">
        <v>361</v>
      </c>
      <c r="D47" s="1279" t="s">
        <v>623</v>
      </c>
      <c r="E47" s="6764"/>
      <c r="F47" s="6764"/>
      <c r="G47" s="6764"/>
      <c r="H47" s="6764"/>
      <c r="I47" s="6784"/>
      <c r="J47" s="6784"/>
      <c r="K47" s="6761"/>
      <c r="L47" s="1280"/>
      <c r="P47" s="6762"/>
      <c r="Q47" s="6762"/>
      <c r="R47" s="282"/>
      <c r="S47" s="1368"/>
      <c r="T47" s="219"/>
      <c r="U47" s="219"/>
      <c r="V47" s="251"/>
      <c r="W47" s="251"/>
      <c r="X47" s="255" t="str">
        <f>Y46&amp;"-"&amp;AA46</f>
        <v>-</v>
      </c>
      <c r="Y47" s="6767"/>
      <c r="Z47" s="6610"/>
      <c r="AA47" s="6767"/>
      <c r="AB47" s="6610"/>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359</v>
      </c>
      <c r="B48" s="1279" t="s">
        <v>360</v>
      </c>
      <c r="C48" s="1279" t="s">
        <v>361</v>
      </c>
      <c r="D48" s="1279" t="s">
        <v>623</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359</v>
      </c>
      <c r="B49" s="1279" t="s">
        <v>360</v>
      </c>
      <c r="C49" s="1279" t="s">
        <v>361</v>
      </c>
      <c r="D49" s="1279" t="s">
        <v>623</v>
      </c>
      <c r="E49" s="6764"/>
      <c r="F49" s="6764"/>
      <c r="G49" s="6764"/>
      <c r="H49" s="6764"/>
      <c r="I49" s="6761"/>
      <c r="J49" s="1279"/>
      <c r="K49" s="1279"/>
      <c r="L49" s="1280"/>
      <c r="P49" s="6762"/>
      <c r="Q49" s="1362"/>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359</v>
      </c>
      <c r="B50" s="1279" t="s">
        <v>360</v>
      </c>
      <c r="C50" s="1279" t="s">
        <v>361</v>
      </c>
      <c r="D50" s="1279" t="s">
        <v>623</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359</v>
      </c>
      <c r="B51" s="1260" t="s">
        <v>360</v>
      </c>
      <c r="C51" s="1232"/>
      <c r="D51" s="1232"/>
      <c r="E51" s="6764"/>
      <c r="F51" s="6763"/>
      <c r="G51" s="1232"/>
      <c r="H51" s="1232"/>
      <c r="I51" s="1232"/>
      <c r="J51" s="1232"/>
      <c r="K51" s="1232"/>
      <c r="L51" s="1370"/>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359</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370"/>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0" hidden="1" customWidth="1"/>
    <col min="2" max="2" width="11" style="1830" hidden="1" customWidth="1"/>
    <col min="3" max="3" width="10.5703125" style="1830" hidden="1"/>
    <col min="4" max="4" width="12.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6498" hidden="1" customWidth="1"/>
    <col min="13" max="14" width="12.28515625" style="2069" hidden="1" customWidth="1"/>
    <col min="15" max="15" width="23.42578125" style="2069" hidden="1" customWidth="1"/>
    <col min="16" max="16" width="3.7109375" style="2069" hidden="1" customWidth="1"/>
    <col min="17" max="17" width="3.7109375" style="2070" hidden="1" customWidth="1"/>
    <col min="18" max="18" width="3.7109375" style="2075" customWidth="1"/>
    <col min="19" max="19" width="12.7109375" style="2076" customWidth="1"/>
    <col min="20" max="20" width="32" style="2042" customWidth="1"/>
    <col min="21" max="21" width="0.140625" style="2042" customWidth="1"/>
    <col min="22" max="25" width="21.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2" width="3.7109375" style="2042" customWidth="1"/>
    <col min="33" max="33" width="24.7109375" style="2042" customWidth="1"/>
    <col min="34" max="36" width="3.7109375" style="2042" customWidth="1"/>
    <col min="37" max="37" width="24.7109375" style="2042" customWidth="1"/>
    <col min="38" max="40" width="3.7109375" style="2042" customWidth="1"/>
    <col min="41" max="41" width="18.85546875" style="2042" customWidth="1"/>
    <col min="42" max="44" width="3.7109375" style="2042" customWidth="1"/>
    <col min="45" max="45" width="18.85546875" style="2042" customWidth="1"/>
    <col min="46" max="49" width="21.7109375" style="2042" customWidth="1"/>
    <col min="50" max="50" width="11.7109375" style="2042" customWidth="1"/>
    <col min="51" max="51" width="3.7109375" style="2042" customWidth="1"/>
    <col min="52" max="52" width="11.7109375" style="2042" customWidth="1"/>
    <col min="53" max="53" width="8.5703125" style="2042" hidden="1" customWidth="1"/>
    <col min="54" max="54" width="4.7109375" style="2042" customWidth="1"/>
    <col min="55" max="55" width="115.7109375" style="2042"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6763">
        <v>1</v>
      </c>
      <c r="F2" s="1279"/>
      <c r="G2" s="1279"/>
      <c r="H2" s="1279"/>
      <c r="I2" s="1279"/>
      <c r="J2" s="1279"/>
      <c r="K2" s="1279"/>
      <c r="L2" s="1280"/>
      <c r="M2" s="1281"/>
      <c r="N2" s="1281"/>
      <c r="O2" s="1281"/>
      <c r="P2" s="1324"/>
      <c r="Q2" s="786"/>
      <c r="R2" s="280"/>
      <c r="S2" s="1376" t="e">
        <f>INDEX(PT_DIFFERENTIATION_NUM_NTAR,MATCH(A2,PT_DIFFERENTIATION_NTAR_ID,0))</f>
        <v>#N/A</v>
      </c>
      <c r="T2" s="217" t="s">
        <v>189</v>
      </c>
      <c r="U2" s="219"/>
      <c r="V2" s="6750"/>
      <c r="W2" s="6750"/>
      <c r="X2" s="6750"/>
      <c r="Y2" s="6750"/>
      <c r="Z2" s="6750"/>
      <c r="AA2" s="6750"/>
      <c r="AB2" s="6750"/>
      <c r="AC2" s="6751"/>
      <c r="AD2" s="6749" t="e">
        <f>INDEX(PT_DIFFERENTIATION_NTAR,MATCH(A2,PT_DIFFERENTIATION_NTAR_ID,0))</f>
        <v>#N/A</v>
      </c>
      <c r="AE2" s="6750"/>
      <c r="AF2" s="6750"/>
      <c r="AG2" s="6750"/>
      <c r="AH2" s="6750"/>
      <c r="AI2" s="6750"/>
      <c r="AJ2" s="6750"/>
      <c r="AK2" s="6750"/>
      <c r="AL2" s="6750"/>
      <c r="AM2" s="6750"/>
      <c r="AN2" s="6750"/>
      <c r="AO2" s="6750"/>
      <c r="AP2" s="6750"/>
      <c r="AQ2" s="6750"/>
      <c r="AR2" s="6750"/>
      <c r="AS2" s="6750"/>
      <c r="AT2" s="6750"/>
      <c r="AU2" s="6750"/>
      <c r="AV2" s="6750"/>
      <c r="AW2" s="6750"/>
      <c r="AX2" s="6750"/>
      <c r="AY2" s="6750"/>
      <c r="AZ2" s="6750"/>
      <c r="BA2" s="6750"/>
      <c r="BB2" s="67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6764"/>
      <c r="F3" s="6763">
        <v>1</v>
      </c>
      <c r="G3" s="1279"/>
      <c r="H3" s="1279"/>
      <c r="I3" s="1279"/>
      <c r="J3" s="1279"/>
      <c r="K3" s="1279"/>
      <c r="L3" s="1280"/>
      <c r="M3" s="1281"/>
      <c r="N3" s="1281"/>
      <c r="O3" s="1281"/>
      <c r="P3" s="1325"/>
      <c r="Q3" s="1326"/>
      <c r="R3" s="278"/>
      <c r="S3" s="1376" t="e">
        <f>INDEX(PT_DIFFERENTIATION_NUM_TER,MATCH(B3,PT_DIFFERENTIATION_TER_ID,0))</f>
        <v>#N/A</v>
      </c>
      <c r="T3" s="229" t="s">
        <v>517</v>
      </c>
      <c r="U3" s="219"/>
      <c r="V3" s="6750"/>
      <c r="W3" s="6750"/>
      <c r="X3" s="6750"/>
      <c r="Y3" s="6750"/>
      <c r="Z3" s="6750"/>
      <c r="AA3" s="6750"/>
      <c r="AB3" s="6750"/>
      <c r="AC3" s="6751"/>
      <c r="AD3" s="6749" t="e">
        <f>INDEX(PT_DIFFERENTIATION_TER,MATCH(B3,PT_DIFFERENTIATION_TER_ID,0))</f>
        <v>#N/A</v>
      </c>
      <c r="AE3" s="6750"/>
      <c r="AF3" s="6750"/>
      <c r="AG3" s="6750"/>
      <c r="AH3" s="6750"/>
      <c r="AI3" s="6750"/>
      <c r="AJ3" s="6750"/>
      <c r="AK3" s="6750"/>
      <c r="AL3" s="6750"/>
      <c r="AM3" s="6750"/>
      <c r="AN3" s="6750"/>
      <c r="AO3" s="6750"/>
      <c r="AP3" s="6750"/>
      <c r="AQ3" s="6750"/>
      <c r="AR3" s="6750"/>
      <c r="AS3" s="6750"/>
      <c r="AT3" s="6750"/>
      <c r="AU3" s="6750"/>
      <c r="AV3" s="6750"/>
      <c r="AW3" s="6750"/>
      <c r="AX3" s="6750"/>
      <c r="AY3" s="6750"/>
      <c r="AZ3" s="6750"/>
      <c r="BA3" s="6750"/>
      <c r="BB3" s="6751"/>
      <c r="BC3" s="1177" t="s">
        <v>518</v>
      </c>
      <c r="BE3" s="426"/>
      <c r="BF3" s="426" t="str">
        <f t="shared" si="0"/>
        <v>Территория действия тарифа</v>
      </c>
      <c r="BG3" s="426"/>
      <c r="BH3" s="426"/>
    </row>
    <row r="4" spans="1:60" ht="42" hidden="1" customHeight="1">
      <c r="A4" s="1279"/>
      <c r="B4" s="1279"/>
      <c r="C4" s="1279"/>
      <c r="D4" s="1279"/>
      <c r="E4" s="6764"/>
      <c r="F4" s="6764"/>
      <c r="G4" s="6763">
        <v>1</v>
      </c>
      <c r="H4" s="1279"/>
      <c r="I4" s="1279"/>
      <c r="J4" s="1279"/>
      <c r="K4" s="1279"/>
      <c r="L4" s="1280"/>
      <c r="M4" s="1281"/>
      <c r="N4" s="1281"/>
      <c r="O4" s="1281"/>
      <c r="P4" s="1327"/>
      <c r="Q4" s="1326"/>
      <c r="R4" s="278"/>
      <c r="S4" s="1376" t="e">
        <f>INDEX(PT_DIFFERENTIATION_NUM_CS,MATCH(C4,PT_DIFFERENTIATION_CS_ID,0))</f>
        <v>#N/A</v>
      </c>
      <c r="T4" s="230" t="s">
        <v>606</v>
      </c>
      <c r="U4" s="219"/>
      <c r="V4" s="6750"/>
      <c r="W4" s="6750"/>
      <c r="X4" s="6750"/>
      <c r="Y4" s="6750"/>
      <c r="Z4" s="6750"/>
      <c r="AA4" s="6750"/>
      <c r="AB4" s="6750"/>
      <c r="AC4" s="6751"/>
      <c r="AD4" s="6749" t="e">
        <f>INDEX(PT_DIFFERENTIATION_CS,MATCH(C4,PT_DIFFERENTIATION_CS_ID,0))</f>
        <v>#N/A</v>
      </c>
      <c r="AE4" s="6750"/>
      <c r="AF4" s="6750"/>
      <c r="AG4" s="6750"/>
      <c r="AH4" s="6750"/>
      <c r="AI4" s="6750"/>
      <c r="AJ4" s="6750"/>
      <c r="AK4" s="6750"/>
      <c r="AL4" s="6750"/>
      <c r="AM4" s="6750"/>
      <c r="AN4" s="6750"/>
      <c r="AO4" s="6750"/>
      <c r="AP4" s="6750"/>
      <c r="AQ4" s="6750"/>
      <c r="AR4" s="6750"/>
      <c r="AS4" s="6750"/>
      <c r="AT4" s="6750"/>
      <c r="AU4" s="6750"/>
      <c r="AV4" s="6750"/>
      <c r="AW4" s="6750"/>
      <c r="AX4" s="6750"/>
      <c r="AY4" s="6750"/>
      <c r="AZ4" s="6750"/>
      <c r="BA4" s="6750"/>
      <c r="BB4" s="6751"/>
      <c r="BC4" s="1177" t="s">
        <v>607</v>
      </c>
      <c r="BE4" s="426"/>
      <c r="BF4" s="426" t="str">
        <f t="shared" si="0"/>
        <v>Наименование централизованной системы холодного водоснабжения</v>
      </c>
      <c r="BG4" s="426"/>
      <c r="BH4" s="426"/>
    </row>
    <row r="5" spans="1:60" s="1817" customFormat="1" ht="14.25" hidden="1" customHeight="1">
      <c r="A5" s="1260"/>
      <c r="B5" s="1260"/>
      <c r="C5" s="1260"/>
      <c r="D5" s="1260"/>
      <c r="E5" s="6764"/>
      <c r="F5" s="6764"/>
      <c r="G5" s="6764"/>
      <c r="H5" s="6763">
        <v>1</v>
      </c>
      <c r="I5" s="1260"/>
      <c r="J5" s="1260"/>
      <c r="K5" s="1260"/>
      <c r="L5" s="1263"/>
      <c r="M5" s="1233"/>
      <c r="N5" s="1233"/>
      <c r="O5" s="1233"/>
      <c r="P5" s="1406"/>
      <c r="Q5" s="1407"/>
      <c r="R5" s="282"/>
      <c r="S5" s="949"/>
      <c r="T5" s="1408"/>
      <c r="U5" s="1300"/>
      <c r="V5" s="6791"/>
      <c r="W5" s="6791"/>
      <c r="X5" s="6791"/>
      <c r="Y5" s="6791"/>
      <c r="Z5" s="6791"/>
      <c r="AA5" s="6791"/>
      <c r="AB5" s="6791"/>
      <c r="AC5" s="6792"/>
      <c r="AD5" s="6790"/>
      <c r="AE5" s="6791"/>
      <c r="AF5" s="6791"/>
      <c r="AG5" s="6791"/>
      <c r="AH5" s="6791"/>
      <c r="AI5" s="6791"/>
      <c r="AJ5" s="6791"/>
      <c r="AK5" s="6791"/>
      <c r="AL5" s="6791"/>
      <c r="AM5" s="6791"/>
      <c r="AN5" s="6791"/>
      <c r="AO5" s="6791"/>
      <c r="AP5" s="6791"/>
      <c r="AQ5" s="6791"/>
      <c r="AR5" s="6791"/>
      <c r="AS5" s="6791"/>
      <c r="AT5" s="6791"/>
      <c r="AU5" s="6791"/>
      <c r="AV5" s="6791"/>
      <c r="AW5" s="6791"/>
      <c r="AX5" s="6791"/>
      <c r="AY5" s="6791"/>
      <c r="AZ5" s="6791"/>
      <c r="BA5" s="6791"/>
      <c r="BB5" s="6792"/>
      <c r="BC5" s="1301" t="s">
        <v>522</v>
      </c>
      <c r="BE5" s="426"/>
      <c r="BF5" s="426" t="str">
        <f t="shared" si="0"/>
        <v/>
      </c>
      <c r="BG5" s="426"/>
      <c r="BH5" s="426"/>
    </row>
    <row r="6" spans="1:60" s="1817" customFormat="1" ht="14.25" hidden="1" customHeight="1">
      <c r="A6" s="1260"/>
      <c r="B6" s="1260"/>
      <c r="C6" s="1260"/>
      <c r="D6" s="1260"/>
      <c r="E6" s="6764"/>
      <c r="F6" s="6764"/>
      <c r="G6" s="6764"/>
      <c r="H6" s="6764"/>
      <c r="I6" s="6761" t="str">
        <f>S5&amp;".1"</f>
        <v>.1</v>
      </c>
      <c r="J6" s="1260"/>
      <c r="K6" s="1260"/>
      <c r="L6" s="1263" t="s">
        <v>523</v>
      </c>
      <c r="M6" s="436"/>
      <c r="N6" s="436"/>
      <c r="O6" s="436"/>
      <c r="P6" s="6762">
        <v>1</v>
      </c>
      <c r="Q6" s="1373"/>
      <c r="R6" s="281"/>
      <c r="S6" s="949"/>
      <c r="T6" s="1299"/>
      <c r="U6" s="1300"/>
      <c r="V6" s="6791"/>
      <c r="W6" s="6791"/>
      <c r="X6" s="6791"/>
      <c r="Y6" s="6791"/>
      <c r="Z6" s="6791"/>
      <c r="AA6" s="6791"/>
      <c r="AB6" s="6791"/>
      <c r="AC6" s="6792"/>
      <c r="AD6" s="6790"/>
      <c r="AE6" s="6791"/>
      <c r="AF6" s="6791"/>
      <c r="AG6" s="6791"/>
      <c r="AH6" s="6791"/>
      <c r="AI6" s="6791"/>
      <c r="AJ6" s="6791"/>
      <c r="AK6" s="6791"/>
      <c r="AL6" s="6791"/>
      <c r="AM6" s="6791"/>
      <c r="AN6" s="6791"/>
      <c r="AO6" s="6791"/>
      <c r="AP6" s="6791"/>
      <c r="AQ6" s="6791"/>
      <c r="AR6" s="6791"/>
      <c r="AS6" s="6791"/>
      <c r="AT6" s="6791"/>
      <c r="AU6" s="6791"/>
      <c r="AV6" s="6791"/>
      <c r="AW6" s="6791"/>
      <c r="AX6" s="6791"/>
      <c r="AY6" s="6791"/>
      <c r="AZ6" s="6791"/>
      <c r="BA6" s="6791"/>
      <c r="BB6" s="6792"/>
      <c r="BC6" s="1301"/>
      <c r="BE6" s="426"/>
      <c r="BF6" s="426" t="str">
        <f t="shared" si="0"/>
        <v/>
      </c>
      <c r="BG6" s="426"/>
      <c r="BH6" s="426"/>
    </row>
    <row r="7" spans="1:60" s="1817" customFormat="1" ht="14.25" hidden="1" customHeight="1">
      <c r="A7" s="1260"/>
      <c r="B7" s="1260"/>
      <c r="C7" s="1260"/>
      <c r="D7" s="1260"/>
      <c r="E7" s="6764"/>
      <c r="F7" s="6764"/>
      <c r="G7" s="6764"/>
      <c r="H7" s="6764"/>
      <c r="I7" s="6784"/>
      <c r="J7" s="6761" t="str">
        <f>S5&amp;".1"</f>
        <v>.1</v>
      </c>
      <c r="K7" s="1260"/>
      <c r="L7" s="1263"/>
      <c r="M7" s="436"/>
      <c r="N7" s="436"/>
      <c r="O7" s="436"/>
      <c r="P7" s="6762"/>
      <c r="Q7" s="6762">
        <v>1</v>
      </c>
      <c r="R7" s="282"/>
      <c r="S7" s="949"/>
      <c r="T7" s="1315"/>
      <c r="U7" s="1300"/>
      <c r="V7" s="6791"/>
      <c r="W7" s="6791"/>
      <c r="X7" s="6791"/>
      <c r="Y7" s="6791"/>
      <c r="Z7" s="6791"/>
      <c r="AA7" s="6791"/>
      <c r="AB7" s="6791"/>
      <c r="AC7" s="6792"/>
      <c r="AD7" s="6790"/>
      <c r="AE7" s="6791"/>
      <c r="AF7" s="6791"/>
      <c r="AG7" s="6791"/>
      <c r="AH7" s="6791"/>
      <c r="AI7" s="6791"/>
      <c r="AJ7" s="6791"/>
      <c r="AK7" s="6791"/>
      <c r="AL7" s="6791"/>
      <c r="AM7" s="6791"/>
      <c r="AN7" s="6791"/>
      <c r="AO7" s="6791"/>
      <c r="AP7" s="6791"/>
      <c r="AQ7" s="6791"/>
      <c r="AR7" s="6791"/>
      <c r="AS7" s="6791"/>
      <c r="AT7" s="6791"/>
      <c r="AU7" s="6791"/>
      <c r="AV7" s="6791"/>
      <c r="AW7" s="6791"/>
      <c r="AX7" s="6791"/>
      <c r="AY7" s="6791"/>
      <c r="AZ7" s="6791"/>
      <c r="BA7" s="6791"/>
      <c r="BB7" s="6792"/>
      <c r="BC7" s="1301"/>
      <c r="BE7" s="426"/>
      <c r="BF7" s="426" t="str">
        <f t="shared" si="0"/>
        <v/>
      </c>
      <c r="BG7" s="426"/>
      <c r="BH7" s="426"/>
    </row>
    <row r="8" spans="1:60" ht="11.25" hidden="1" customHeight="1">
      <c r="A8" s="1279"/>
      <c r="B8" s="1279"/>
      <c r="C8" s="1279"/>
      <c r="D8" s="1279"/>
      <c r="E8" s="6764"/>
      <c r="F8" s="6764"/>
      <c r="G8" s="6764"/>
      <c r="H8" s="6764"/>
      <c r="I8" s="6784"/>
      <c r="J8" s="6784"/>
      <c r="K8" s="6761" t="e">
        <f>S4&amp;".1"</f>
        <v>#N/A</v>
      </c>
      <c r="L8" s="1280"/>
      <c r="P8" s="6762"/>
      <c r="Q8" s="6762"/>
      <c r="R8" s="6819">
        <v>1</v>
      </c>
      <c r="S8" s="6813" t="e">
        <f>$K8</f>
        <v>#N/A</v>
      </c>
      <c r="T8" s="6833"/>
      <c r="U8" s="219"/>
      <c r="V8" s="668"/>
      <c r="W8" s="1176"/>
      <c r="X8" s="668"/>
      <c r="Y8" s="1176"/>
      <c r="Z8" s="1643"/>
      <c r="AA8" s="1371" t="s">
        <v>61</v>
      </c>
      <c r="AB8" s="1643"/>
      <c r="AC8" s="1371" t="s">
        <v>61</v>
      </c>
      <c r="AD8" s="6688" t="s">
        <v>61</v>
      </c>
      <c r="AE8" s="6799"/>
      <c r="AF8" s="6718">
        <v>1</v>
      </c>
      <c r="AG8" s="6836"/>
      <c r="AH8" s="6610" t="s">
        <v>61</v>
      </c>
      <c r="AI8" s="6799"/>
      <c r="AJ8" s="6718">
        <v>1</v>
      </c>
      <c r="AK8" s="6820" t="s">
        <v>24</v>
      </c>
      <c r="AL8" s="6610" t="s">
        <v>61</v>
      </c>
      <c r="AM8" s="6708"/>
      <c r="AN8" s="6718">
        <v>1</v>
      </c>
      <c r="AO8" s="6830"/>
      <c r="AP8" s="6831" t="s">
        <v>61</v>
      </c>
      <c r="AQ8" s="232"/>
      <c r="AR8" s="1374">
        <v>1</v>
      </c>
      <c r="AS8" s="1377" t="s">
        <v>24</v>
      </c>
      <c r="AT8" s="668"/>
      <c r="AU8" s="1176"/>
      <c r="AV8" s="668"/>
      <c r="AW8" s="1176"/>
      <c r="AX8" s="1643"/>
      <c r="AY8" s="1371" t="s">
        <v>61</v>
      </c>
      <c r="AZ8" s="1643"/>
      <c r="BA8" s="1371" t="s">
        <v>61</v>
      </c>
      <c r="BB8" s="1265"/>
      <c r="BC8" s="6758" t="s">
        <v>624</v>
      </c>
      <c r="BE8" s="426"/>
      <c r="BF8" s="426" t="str">
        <f t="shared" si="0"/>
        <v/>
      </c>
      <c r="BG8" s="426"/>
      <c r="BH8" s="426"/>
    </row>
    <row r="9" spans="1:60" ht="11.25" hidden="1" customHeight="1">
      <c r="A9" s="1279"/>
      <c r="B9" s="1279"/>
      <c r="C9" s="1279"/>
      <c r="D9" s="1279"/>
      <c r="E9" s="6764"/>
      <c r="F9" s="6764"/>
      <c r="G9" s="6764"/>
      <c r="H9" s="6764"/>
      <c r="I9" s="6784"/>
      <c r="J9" s="6784"/>
      <c r="K9" s="6761"/>
      <c r="L9" s="1280"/>
      <c r="P9" s="6762"/>
      <c r="Q9" s="6762"/>
      <c r="R9" s="6819"/>
      <c r="S9" s="6814"/>
      <c r="T9" s="6834"/>
      <c r="U9" s="219"/>
      <c r="V9" s="1309"/>
      <c r="W9" s="1405"/>
      <c r="X9" s="1309"/>
      <c r="Y9" s="1405"/>
      <c r="Z9" s="1309"/>
      <c r="AA9" s="1309"/>
      <c r="AB9" s="1309"/>
      <c r="AC9" s="1309"/>
      <c r="AD9" s="6689"/>
      <c r="AE9" s="6799"/>
      <c r="AF9" s="6718"/>
      <c r="AG9" s="6836"/>
      <c r="AH9" s="6610"/>
      <c r="AI9" s="6799"/>
      <c r="AJ9" s="6718"/>
      <c r="AK9" s="6820"/>
      <c r="AL9" s="6610"/>
      <c r="AM9" s="6713"/>
      <c r="AN9" s="6718"/>
      <c r="AO9" s="6830"/>
      <c r="AP9" s="6832"/>
      <c r="AQ9" s="239"/>
      <c r="AR9" s="350"/>
      <c r="AS9" s="350" t="s">
        <v>625</v>
      </c>
      <c r="AT9" s="1309"/>
      <c r="AU9" s="1405"/>
      <c r="AV9" s="1309"/>
      <c r="AW9" s="1405"/>
      <c r="AX9" s="1309"/>
      <c r="AY9" s="1309"/>
      <c r="AZ9" s="1309"/>
      <c r="BA9" s="1309"/>
      <c r="BB9" s="1313"/>
      <c r="BC9" s="6759"/>
      <c r="BE9" s="426"/>
      <c r="BF9" s="426"/>
      <c r="BG9" s="426"/>
      <c r="BH9" s="426"/>
    </row>
    <row r="10" spans="1:60" ht="11.25" hidden="1" customHeight="1">
      <c r="A10" s="1279"/>
      <c r="B10" s="1279"/>
      <c r="C10" s="1279"/>
      <c r="D10" s="1279"/>
      <c r="E10" s="6764"/>
      <c r="F10" s="6764"/>
      <c r="G10" s="6764"/>
      <c r="H10" s="6764"/>
      <c r="I10" s="6784"/>
      <c r="J10" s="6784"/>
      <c r="K10" s="6761"/>
      <c r="L10" s="1280"/>
      <c r="P10" s="6762"/>
      <c r="Q10" s="6762"/>
      <c r="R10" s="6819"/>
      <c r="S10" s="6814"/>
      <c r="T10" s="6834"/>
      <c r="U10" s="219"/>
      <c r="V10" s="1309"/>
      <c r="W10" s="1405"/>
      <c r="X10" s="1309"/>
      <c r="Y10" s="1405"/>
      <c r="Z10" s="1309"/>
      <c r="AA10" s="1309"/>
      <c r="AB10" s="1309"/>
      <c r="AC10" s="1309"/>
      <c r="AD10" s="6689"/>
      <c r="AE10" s="6799"/>
      <c r="AF10" s="6718"/>
      <c r="AG10" s="6836"/>
      <c r="AH10" s="6610"/>
      <c r="AI10" s="6799"/>
      <c r="AJ10" s="6718"/>
      <c r="AK10" s="6820"/>
      <c r="AL10" s="6610"/>
      <c r="AM10" s="239"/>
      <c r="AN10" s="1409"/>
      <c r="AO10" s="1409" t="s">
        <v>626</v>
      </c>
      <c r="AP10" s="350"/>
      <c r="AQ10" s="350"/>
      <c r="AR10" s="350"/>
      <c r="AS10" s="1309"/>
      <c r="AT10" s="1309"/>
      <c r="AU10" s="1405"/>
      <c r="AV10" s="1309"/>
      <c r="AW10" s="1405"/>
      <c r="AX10" s="1309"/>
      <c r="AY10" s="1309"/>
      <c r="AZ10" s="1309"/>
      <c r="BA10" s="1309"/>
      <c r="BB10" s="1313"/>
      <c r="BC10" s="6759"/>
      <c r="BE10" s="426"/>
      <c r="BF10" s="426"/>
      <c r="BG10" s="426"/>
      <c r="BH10" s="426"/>
    </row>
    <row r="11" spans="1:60" ht="11.25" hidden="1" customHeight="1">
      <c r="A11" s="1279"/>
      <c r="B11" s="1279"/>
      <c r="C11" s="1279"/>
      <c r="D11" s="1279"/>
      <c r="E11" s="6764"/>
      <c r="F11" s="6764"/>
      <c r="G11" s="6764"/>
      <c r="H11" s="6764"/>
      <c r="I11" s="6784"/>
      <c r="J11" s="6784"/>
      <c r="K11" s="6761"/>
      <c r="L11" s="1280"/>
      <c r="P11" s="6762"/>
      <c r="Q11" s="6762"/>
      <c r="R11" s="6819"/>
      <c r="S11" s="6814"/>
      <c r="T11" s="6834"/>
      <c r="U11" s="219"/>
      <c r="V11" s="1309"/>
      <c r="W11" s="1405"/>
      <c r="X11" s="1309"/>
      <c r="Y11" s="1405"/>
      <c r="Z11" s="1309"/>
      <c r="AA11" s="1309"/>
      <c r="AB11" s="1309"/>
      <c r="AC11" s="1309"/>
      <c r="AD11" s="6689"/>
      <c r="AE11" s="6799"/>
      <c r="AF11" s="6718"/>
      <c r="AG11" s="6836"/>
      <c r="AH11" s="6610"/>
      <c r="AI11" s="213"/>
      <c r="AJ11" s="349"/>
      <c r="AK11" s="234" t="s">
        <v>627</v>
      </c>
      <c r="AL11" s="1309"/>
      <c r="AM11" s="1309"/>
      <c r="AN11" s="1309"/>
      <c r="AO11" s="1309"/>
      <c r="AP11" s="1309"/>
      <c r="AQ11" s="1309"/>
      <c r="AR11" s="1309"/>
      <c r="AS11" s="1309"/>
      <c r="AT11" s="1309"/>
      <c r="AU11" s="1405"/>
      <c r="AV11" s="1309"/>
      <c r="AW11" s="1405"/>
      <c r="AX11" s="1309"/>
      <c r="AY11" s="1309"/>
      <c r="AZ11" s="1309"/>
      <c r="BA11" s="1309"/>
      <c r="BB11" s="1313"/>
      <c r="BC11" s="6759"/>
      <c r="BE11" s="426"/>
      <c r="BF11" s="426"/>
      <c r="BG11" s="426"/>
      <c r="BH11" s="426"/>
    </row>
    <row r="12" spans="1:60" ht="11.25" hidden="1" customHeight="1">
      <c r="A12" s="1279"/>
      <c r="B12" s="1279"/>
      <c r="C12" s="1279"/>
      <c r="D12" s="1279"/>
      <c r="E12" s="6764"/>
      <c r="F12" s="6764"/>
      <c r="G12" s="6764"/>
      <c r="H12" s="6764"/>
      <c r="I12" s="6784"/>
      <c r="J12" s="6784"/>
      <c r="K12" s="6761"/>
      <c r="L12" s="1280"/>
      <c r="P12" s="6762"/>
      <c r="Q12" s="6762"/>
      <c r="R12" s="6819"/>
      <c r="S12" s="6815"/>
      <c r="T12" s="6835"/>
      <c r="U12" s="219"/>
      <c r="V12" s="1309"/>
      <c r="W12" s="1310" t="str">
        <f>Z8&amp;"-"&amp;AB8</f>
        <v>-</v>
      </c>
      <c r="X12" s="1309"/>
      <c r="Y12" s="1310" t="str">
        <f>AB8&amp;"-"&amp;AD8</f>
        <v>-да</v>
      </c>
      <c r="Z12" s="1309"/>
      <c r="AA12" s="1309"/>
      <c r="AB12" s="1309"/>
      <c r="AC12" s="1309"/>
      <c r="AD12" s="6615"/>
      <c r="AE12" s="233"/>
      <c r="AF12" s="235"/>
      <c r="AG12" s="350" t="s">
        <v>628</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6759"/>
      <c r="BE12" s="426"/>
      <c r="BF12" s="426" t="str">
        <f t="shared" ref="BF12:BF18" si="1">IF(T12="","",T12)</f>
        <v/>
      </c>
      <c r="BG12" s="426"/>
      <c r="BH12" s="426"/>
    </row>
    <row r="13" spans="1:60" ht="11.25" hidden="1" customHeight="1">
      <c r="A13" s="1279"/>
      <c r="B13" s="1279"/>
      <c r="C13" s="1279"/>
      <c r="D13" s="1279"/>
      <c r="E13" s="6764"/>
      <c r="F13" s="6764"/>
      <c r="G13" s="6764"/>
      <c r="H13" s="6764"/>
      <c r="I13" s="6784"/>
      <c r="J13" s="6761"/>
      <c r="K13" s="1279"/>
      <c r="L13" s="1280"/>
      <c r="P13" s="6762"/>
      <c r="Q13" s="6762"/>
      <c r="R13" s="281"/>
      <c r="S13" s="1198"/>
      <c r="T13" s="206" t="s">
        <v>586</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6760"/>
      <c r="BE13" s="426"/>
      <c r="BF13" s="426" t="str">
        <f t="shared" si="1"/>
        <v>Добавить строку</v>
      </c>
      <c r="BG13" s="426"/>
      <c r="BH13" s="426"/>
    </row>
    <row r="14" spans="1:60" s="1817" customFormat="1" ht="14.25" hidden="1" customHeight="1">
      <c r="A14" s="1260"/>
      <c r="B14" s="1260"/>
      <c r="C14" s="1260"/>
      <c r="D14" s="1260"/>
      <c r="E14" s="6764"/>
      <c r="F14" s="6764"/>
      <c r="G14" s="6764"/>
      <c r="H14" s="6764"/>
      <c r="I14" s="6761"/>
      <c r="J14" s="1260"/>
      <c r="K14" s="1260"/>
      <c r="L14" s="1263"/>
      <c r="M14" s="436"/>
      <c r="N14" s="436"/>
      <c r="O14" s="436"/>
      <c r="P14" s="6762"/>
      <c r="Q14" s="1373"/>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6764"/>
      <c r="F15" s="6764"/>
      <c r="G15" s="6764"/>
      <c r="H15" s="676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067" customFormat="1" ht="14.25" hidden="1" customHeight="1">
      <c r="A16" s="1260"/>
      <c r="B16" s="1260"/>
      <c r="C16" s="1260"/>
      <c r="D16" s="1232"/>
      <c r="E16" s="6764"/>
      <c r="F16" s="6764"/>
      <c r="G16" s="6763"/>
      <c r="H16" s="1232"/>
      <c r="I16" s="1232"/>
      <c r="J16" s="1232"/>
      <c r="K16" s="1232"/>
      <c r="L16" s="1375"/>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067" customFormat="1" ht="14.25" hidden="1" customHeight="1">
      <c r="A17" s="1260"/>
      <c r="B17" s="1260"/>
      <c r="C17" s="1232"/>
      <c r="D17" s="1232"/>
      <c r="E17" s="6764"/>
      <c r="F17" s="6763"/>
      <c r="G17" s="1232"/>
      <c r="H17" s="1232"/>
      <c r="I17" s="1232"/>
      <c r="J17" s="1232"/>
      <c r="K17" s="1232"/>
      <c r="L17" s="1375"/>
      <c r="M17" s="1239"/>
      <c r="N17" s="1239"/>
      <c r="P17" s="1234"/>
      <c r="Q17" s="1235"/>
      <c r="R17" s="1234"/>
      <c r="S17" s="1240"/>
      <c r="T17" s="1243" t="s">
        <v>229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6763"/>
      <c r="F18" s="1260"/>
      <c r="G18" s="1260"/>
      <c r="H18" s="1260"/>
      <c r="I18" s="1260"/>
      <c r="J18" s="1260"/>
      <c r="K18" s="1260"/>
      <c r="L18" s="1263"/>
      <c r="M18" s="1239"/>
      <c r="N18" s="1239"/>
      <c r="O18" s="444"/>
      <c r="P18" s="313"/>
      <c r="Q18" s="1261"/>
      <c r="R18" s="313"/>
      <c r="S18" s="1240"/>
      <c r="T18" s="1243" t="s">
        <v>272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0"/>
      <c r="AF20" s="473">
        <v>1</v>
      </c>
      <c r="AG20" s="1411"/>
      <c r="AH20" s="1242" t="s">
        <v>56</v>
      </c>
      <c r="AI20" s="1410"/>
      <c r="AJ20" s="473">
        <v>1</v>
      </c>
      <c r="AK20" s="1411"/>
      <c r="AL20" s="1242" t="s">
        <v>56</v>
      </c>
      <c r="AM20" s="1412"/>
      <c r="AN20" s="473">
        <v>1</v>
      </c>
      <c r="AO20" s="1413"/>
      <c r="AP20" s="1242" t="s">
        <v>56</v>
      </c>
      <c r="AQ20" s="1412"/>
      <c r="AR20" s="473">
        <v>1</v>
      </c>
      <c r="AS20" s="1413"/>
      <c r="AT20" s="251"/>
      <c r="AU20" s="318"/>
      <c r="AV20" s="251"/>
      <c r="AW20" s="318"/>
      <c r="AX20" s="1645"/>
      <c r="AY20" s="1372" t="s">
        <v>61</v>
      </c>
      <c r="AZ20" s="1645"/>
      <c r="BA20" s="1372" t="s">
        <v>61</v>
      </c>
    </row>
    <row r="21" spans="1:60" ht="14.25" hidden="1" customHeight="1">
      <c r="BD21" s="422"/>
      <c r="BE21" s="422"/>
      <c r="BF21" s="422"/>
      <c r="BG21" s="422"/>
      <c r="BH21" s="422"/>
    </row>
    <row r="22" spans="1:60" ht="14.25" hidden="1" customHeight="1">
      <c r="O22" s="1283" t="s">
        <v>534</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6441" customFormat="1" ht="14.25" hidden="1" customHeight="1">
      <c r="M24" s="1417"/>
      <c r="N24" s="1417"/>
      <c r="O24" s="1418" t="s">
        <v>535</v>
      </c>
      <c r="P24" s="1417"/>
      <c r="Q24" s="1419"/>
      <c r="R24" s="1419"/>
      <c r="AA24" s="1416" t="s">
        <v>537</v>
      </c>
      <c r="AC24" s="1416" t="s">
        <v>538</v>
      </c>
      <c r="AD24" s="1416" t="s">
        <v>587</v>
      </c>
      <c r="AH24" s="1416" t="s">
        <v>587</v>
      </c>
      <c r="AK24" s="1416" t="s">
        <v>629</v>
      </c>
      <c r="AL24" s="1416" t="s">
        <v>587</v>
      </c>
      <c r="AP24" s="1416" t="s">
        <v>587</v>
      </c>
      <c r="AY24" s="1416" t="s">
        <v>537</v>
      </c>
      <c r="BA24" s="1416" t="s">
        <v>538</v>
      </c>
      <c r="BD24" s="1420"/>
      <c r="BE24" s="1420"/>
      <c r="BF24" s="1420"/>
      <c r="BG24" s="1420"/>
      <c r="BH24" s="1420"/>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674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6747"/>
      <c r="U28" s="6747"/>
      <c r="V28" s="6747"/>
      <c r="W28" s="6747"/>
      <c r="X28" s="6747"/>
      <c r="Y28" s="6747"/>
      <c r="Z28" s="6747"/>
      <c r="AA28" s="6747"/>
      <c r="AB28" s="6747"/>
      <c r="AC28" s="6747"/>
      <c r="AD28" s="6747"/>
      <c r="AE28" s="6747"/>
      <c r="AF28" s="6747"/>
      <c r="AG28" s="6747"/>
      <c r="AH28" s="6747"/>
      <c r="AI28" s="6747"/>
      <c r="AJ28" s="6747"/>
      <c r="AK28" s="6747"/>
      <c r="AL28" s="6747"/>
      <c r="AM28" s="6747"/>
      <c r="AN28" s="6747"/>
      <c r="AO28" s="6747"/>
      <c r="AP28" s="6747"/>
      <c r="AQ28" s="6747"/>
      <c r="AR28" s="6747"/>
      <c r="AS28" s="6747"/>
      <c r="AT28" s="6747"/>
      <c r="AU28" s="6747"/>
      <c r="AV28" s="6747"/>
      <c r="AW28" s="6747"/>
      <c r="AX28" s="6747"/>
      <c r="AY28" s="6747"/>
      <c r="AZ28" s="6747"/>
      <c r="BA28" s="1152"/>
    </row>
    <row r="29" spans="1:60" ht="14.25" customHeight="1">
      <c r="Q29" s="210"/>
      <c r="R29" s="305"/>
      <c r="S29" s="6694" t="str">
        <f>IF(org=0,"Не определено",org)</f>
        <v>ООО "Марикоммунэнерго"</v>
      </c>
      <c r="T29" s="6694"/>
      <c r="U29" s="6694"/>
      <c r="V29" s="6694"/>
      <c r="W29" s="6694"/>
      <c r="X29" s="6694"/>
      <c r="Y29" s="6694"/>
      <c r="Z29" s="6694"/>
      <c r="AA29" s="6694"/>
      <c r="AB29" s="6694"/>
      <c r="AC29" s="6694"/>
      <c r="AD29" s="6694"/>
      <c r="AE29" s="6694"/>
      <c r="AF29" s="6694"/>
      <c r="AG29" s="6694"/>
      <c r="AH29" s="6694"/>
      <c r="AI29" s="6694"/>
      <c r="AJ29" s="6694"/>
      <c r="AK29" s="6694"/>
      <c r="AL29" s="6694"/>
      <c r="AM29" s="6694"/>
      <c r="AN29" s="6694"/>
      <c r="AO29" s="6694"/>
      <c r="AP29" s="6694"/>
      <c r="AQ29" s="6694"/>
      <c r="AR29" s="6694"/>
      <c r="AS29" s="6694"/>
      <c r="AT29" s="6694"/>
      <c r="AU29" s="6694"/>
      <c r="AV29" s="6694"/>
      <c r="AW29" s="6694"/>
      <c r="AX29" s="6694"/>
      <c r="AY29" s="6694"/>
      <c r="AZ29" s="6694"/>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072" customFormat="1" ht="25.5" customHeight="1">
      <c r="A31" s="1284"/>
      <c r="B31" s="1284"/>
      <c r="C31" s="1284"/>
      <c r="D31" s="1284"/>
      <c r="E31" s="1284"/>
      <c r="F31" s="1284"/>
      <c r="G31" s="1284"/>
      <c r="H31" s="1284"/>
      <c r="I31" s="1284"/>
      <c r="J31" s="1284"/>
      <c r="K31" s="1284"/>
      <c r="L31" s="1285"/>
      <c r="M31" s="1284"/>
      <c r="N31" s="1284"/>
      <c r="O31" s="1284"/>
      <c r="P31" s="1284"/>
      <c r="Q31" s="1284"/>
      <c r="S31" s="6755" t="s">
        <v>38</v>
      </c>
      <c r="T31" s="6755"/>
      <c r="U31" s="1288"/>
      <c r="V31" s="6756" t="str">
        <f>IF(TITLE_NAME_OR_PR_CHANGE="",IF(TITLE_NAME_OR_PR="","",TITLE_NAME_OR_PR),TITLE_NAME_OR_PR_CHANGE)</f>
        <v>Министерство промышленности, экономического развития и торговли Республики Марий Эл</v>
      </c>
      <c r="W31" s="6756"/>
      <c r="X31" s="6756"/>
      <c r="Y31" s="6756"/>
      <c r="Z31" s="6756"/>
      <c r="AA31" s="6756"/>
      <c r="AB31" s="6756"/>
      <c r="AC31" s="253"/>
      <c r="AD31" s="6756" t="str">
        <f>IF(TITLE_NAME_OR_PR_CHANGE="",IF(TITLE_NAME_OR_PR="","",TITLE_NAME_OR_PR),TITLE_NAME_OR_PR_CHANGE)</f>
        <v>Министерство промышленности, экономического развития и торговли Республики Марий Эл</v>
      </c>
      <c r="AE31" s="6756"/>
      <c r="AF31" s="6756"/>
      <c r="AG31" s="6756"/>
      <c r="AH31" s="6756"/>
      <c r="AI31" s="6756"/>
      <c r="AJ31" s="6756"/>
      <c r="AK31" s="6756"/>
      <c r="AL31" s="6756"/>
      <c r="AM31" s="6756"/>
      <c r="AN31" s="6756"/>
      <c r="AO31" s="6756"/>
      <c r="AP31" s="6756"/>
      <c r="AQ31" s="6756"/>
      <c r="AR31" s="6756"/>
      <c r="AS31" s="6756"/>
      <c r="AT31" s="6756"/>
      <c r="AU31" s="6756"/>
      <c r="AV31" s="6756"/>
      <c r="AW31" s="6756"/>
      <c r="AX31" s="6756"/>
      <c r="AY31" s="6756"/>
      <c r="AZ31" s="6756"/>
      <c r="BA31" s="253"/>
      <c r="BB31" s="253"/>
      <c r="BC31" s="200"/>
      <c r="BD31" s="296"/>
      <c r="BE31" s="296"/>
      <c r="BF31" s="296"/>
      <c r="BG31" s="296"/>
      <c r="BH31" s="296"/>
    </row>
    <row r="32" spans="1:60" s="2072" customFormat="1" ht="18.75" customHeight="1">
      <c r="A32" s="1284"/>
      <c r="B32" s="1284"/>
      <c r="C32" s="1284"/>
      <c r="D32" s="1284"/>
      <c r="E32" s="1284"/>
      <c r="F32" s="1284"/>
      <c r="G32" s="1284"/>
      <c r="H32" s="1284"/>
      <c r="I32" s="1284"/>
      <c r="J32" s="1284"/>
      <c r="K32" s="1284"/>
      <c r="L32" s="1285"/>
      <c r="M32" s="1284"/>
      <c r="N32" s="1284"/>
      <c r="O32" s="1284"/>
      <c r="P32" s="1284"/>
      <c r="Q32" s="1284"/>
      <c r="S32" s="6755" t="s">
        <v>540</v>
      </c>
      <c r="T32" s="6755"/>
      <c r="U32" s="1288"/>
      <c r="V32" s="6765">
        <f>IF(TITLE_DATE_PR_CHANGE="",IF(TITLE_DATE_PR="","",TITLE_DATE_PR),TITLE_DATE_PR_CHANGE)</f>
        <v>45280.426180555558</v>
      </c>
      <c r="W32" s="6765"/>
      <c r="X32" s="6765"/>
      <c r="Y32" s="6765"/>
      <c r="Z32" s="6765"/>
      <c r="AA32" s="6765"/>
      <c r="AB32" s="6765"/>
      <c r="AC32" s="253"/>
      <c r="AD32" s="6765">
        <f>IF(TITLE_DATE_PR_CHANGE="",IF(TITLE_DATE_PR="","",TITLE_DATE_PR),TITLE_DATE_PR_CHANGE)</f>
        <v>45280.426180555558</v>
      </c>
      <c r="AE32" s="6765"/>
      <c r="AF32" s="6765"/>
      <c r="AG32" s="6765"/>
      <c r="AH32" s="6765"/>
      <c r="AI32" s="6765"/>
      <c r="AJ32" s="6765"/>
      <c r="AK32" s="6765"/>
      <c r="AL32" s="6765"/>
      <c r="AM32" s="6765"/>
      <c r="AN32" s="6765"/>
      <c r="AO32" s="6765"/>
      <c r="AP32" s="6765"/>
      <c r="AQ32" s="6765"/>
      <c r="AR32" s="6765"/>
      <c r="AS32" s="6765"/>
      <c r="AT32" s="6765"/>
      <c r="AU32" s="6765"/>
      <c r="AV32" s="6765"/>
      <c r="AW32" s="6765"/>
      <c r="AX32" s="6765"/>
      <c r="AY32" s="6765"/>
      <c r="AZ32" s="6765"/>
      <c r="BA32" s="253"/>
      <c r="BB32" s="253"/>
      <c r="BC32" s="200"/>
      <c r="BD32" s="296"/>
      <c r="BE32" s="296"/>
      <c r="BF32" s="296"/>
      <c r="BG32" s="296"/>
      <c r="BH32" s="296"/>
    </row>
    <row r="33" spans="1:60" s="2072" customFormat="1" ht="18.75" customHeight="1">
      <c r="A33" s="1284"/>
      <c r="B33" s="1284"/>
      <c r="C33" s="1284"/>
      <c r="D33" s="1284"/>
      <c r="E33" s="1284"/>
      <c r="F33" s="1284"/>
      <c r="G33" s="1284"/>
      <c r="H33" s="1284"/>
      <c r="I33" s="1284"/>
      <c r="J33" s="1284"/>
      <c r="K33" s="1284"/>
      <c r="L33" s="1285"/>
      <c r="M33" s="1284"/>
      <c r="N33" s="1284"/>
      <c r="O33" s="1284"/>
      <c r="P33" s="1284"/>
      <c r="Q33" s="1284"/>
      <c r="S33" s="6755" t="s">
        <v>541</v>
      </c>
      <c r="T33" s="6755"/>
      <c r="U33" s="1288"/>
      <c r="V33" s="6756" t="str">
        <f>IF(TITLE_NUMBER_PR_CHANGE="",IF(TITLE_NUMBER_PR="","",TITLE_NUMBER_PR),TITLE_NUMBER_PR_CHANGE)</f>
        <v>124 т, 125 т, 126 т, 169 т</v>
      </c>
      <c r="W33" s="6756"/>
      <c r="X33" s="6756"/>
      <c r="Y33" s="6756"/>
      <c r="Z33" s="6756"/>
      <c r="AA33" s="6756"/>
      <c r="AB33" s="6756"/>
      <c r="AC33" s="253"/>
      <c r="AD33" s="6756" t="str">
        <f>IF(TITLE_NUMBER_PR_CHANGE="",IF(TITLE_NUMBER_PR="","",TITLE_NUMBER_PR),TITLE_NUMBER_PR_CHANGE)</f>
        <v>124 т, 125 т, 126 т, 169 т</v>
      </c>
      <c r="AE33" s="6756"/>
      <c r="AF33" s="6756"/>
      <c r="AG33" s="6756"/>
      <c r="AH33" s="6756"/>
      <c r="AI33" s="6756"/>
      <c r="AJ33" s="6756"/>
      <c r="AK33" s="6756"/>
      <c r="AL33" s="6756"/>
      <c r="AM33" s="6756"/>
      <c r="AN33" s="6756"/>
      <c r="AO33" s="6756"/>
      <c r="AP33" s="6756"/>
      <c r="AQ33" s="6756"/>
      <c r="AR33" s="6756"/>
      <c r="AS33" s="6756"/>
      <c r="AT33" s="6756"/>
      <c r="AU33" s="6756"/>
      <c r="AV33" s="6756"/>
      <c r="AW33" s="6756"/>
      <c r="AX33" s="6756"/>
      <c r="AY33" s="6756"/>
      <c r="AZ33" s="6756"/>
      <c r="BA33" s="253"/>
      <c r="BB33" s="253"/>
      <c r="BC33" s="200"/>
      <c r="BD33" s="296"/>
      <c r="BE33" s="296"/>
      <c r="BF33" s="296"/>
      <c r="BG33" s="296"/>
      <c r="BH33" s="296"/>
    </row>
    <row r="34" spans="1:60" s="2072" customFormat="1" ht="18.75" customHeight="1">
      <c r="A34" s="1284"/>
      <c r="B34" s="1284"/>
      <c r="C34" s="1284"/>
      <c r="D34" s="1284"/>
      <c r="E34" s="1284"/>
      <c r="F34" s="1284"/>
      <c r="G34" s="1284"/>
      <c r="H34" s="1284"/>
      <c r="I34" s="1284"/>
      <c r="J34" s="1284"/>
      <c r="K34" s="1284"/>
      <c r="L34" s="1285"/>
      <c r="M34" s="1284"/>
      <c r="N34" s="1284"/>
      <c r="O34" s="1284"/>
      <c r="P34" s="1284"/>
      <c r="Q34" s="1284"/>
      <c r="S34" s="6755" t="s">
        <v>40</v>
      </c>
      <c r="T34" s="6755"/>
      <c r="U34" s="1288"/>
      <c r="V34" s="6756" t="str">
        <f>IF(TITLE_IST_PUB_CHANGE="",IF(TITLE_IST_PUB="","",TITLE_IST_PUB),TITLE_IST_PUB_CHANGE)</f>
        <v>портал Официальное опубликование нормативных правовых актов  Республики Марий Эл</v>
      </c>
      <c r="W34" s="6756"/>
      <c r="X34" s="6756"/>
      <c r="Y34" s="6756"/>
      <c r="Z34" s="6756"/>
      <c r="AA34" s="6756"/>
      <c r="AB34" s="6756"/>
      <c r="AC34" s="253"/>
      <c r="AD34" s="6756" t="str">
        <f>IF(TITLE_IST_PUB_CHANGE="",IF(TITLE_IST_PUB="","",TITLE_IST_PUB),TITLE_IST_PUB_CHANGE)</f>
        <v>портал Официальное опубликование нормативных правовых актов  Республики Марий Эл</v>
      </c>
      <c r="AE34" s="6756"/>
      <c r="AF34" s="6756"/>
      <c r="AG34" s="6756"/>
      <c r="AH34" s="6756"/>
      <c r="AI34" s="6756"/>
      <c r="AJ34" s="6756"/>
      <c r="AK34" s="6756"/>
      <c r="AL34" s="6756"/>
      <c r="AM34" s="6756"/>
      <c r="AN34" s="6756"/>
      <c r="AO34" s="6756"/>
      <c r="AP34" s="6756"/>
      <c r="AQ34" s="6756"/>
      <c r="AR34" s="6756"/>
      <c r="AS34" s="6756"/>
      <c r="AT34" s="6756"/>
      <c r="AU34" s="6756"/>
      <c r="AV34" s="6756"/>
      <c r="AW34" s="6756"/>
      <c r="AX34" s="6756"/>
      <c r="AY34" s="6756"/>
      <c r="AZ34" s="675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072" customFormat="1" ht="18.75" hidden="1" customHeight="1">
      <c r="A36" s="1284"/>
      <c r="B36" s="1284"/>
      <c r="C36" s="1284"/>
      <c r="D36" s="1284"/>
      <c r="E36" s="1284"/>
      <c r="F36" s="1284"/>
      <c r="G36" s="1284"/>
      <c r="H36" s="1284"/>
      <c r="I36" s="1284"/>
      <c r="J36" s="1284"/>
      <c r="K36" s="1284"/>
      <c r="L36" s="1285"/>
      <c r="M36" s="1284"/>
      <c r="N36" s="1284"/>
      <c r="O36" s="1284"/>
      <c r="P36" s="1284"/>
      <c r="Q36" s="1284"/>
      <c r="S36" s="6755" t="s">
        <v>540</v>
      </c>
      <c r="T36" s="6755"/>
      <c r="U36" s="1288"/>
      <c r="V36" s="6765">
        <f>IF(TITLE_DATE_PR_CHANGE="",IF(TITLE_DATE_PR="","",TITLE_DATE_PR),TITLE_DATE_PR_CHANGE)</f>
        <v>45280.426180555558</v>
      </c>
      <c r="W36" s="6765"/>
      <c r="X36" s="6765"/>
      <c r="Y36" s="6765"/>
      <c r="Z36" s="6765"/>
      <c r="AA36" s="6765"/>
      <c r="AB36" s="6765"/>
      <c r="AC36" s="253"/>
      <c r="AD36" s="6765">
        <f>IF(TITLE_DATE_PR_CHANGE="",IF(TITLE_DATE_PR="","",TITLE_DATE_PR),TITLE_DATE_PR_CHANGE)</f>
        <v>45280.426180555558</v>
      </c>
      <c r="AE36" s="6765"/>
      <c r="AF36" s="6765"/>
      <c r="AG36" s="6765"/>
      <c r="AH36" s="6765"/>
      <c r="AI36" s="6765"/>
      <c r="AJ36" s="6765"/>
      <c r="AK36" s="6765"/>
      <c r="AL36" s="6765"/>
      <c r="AM36" s="6765"/>
      <c r="AN36" s="6765"/>
      <c r="AO36" s="6765"/>
      <c r="AP36" s="6765"/>
      <c r="AQ36" s="6765"/>
      <c r="AR36" s="6765"/>
      <c r="AS36" s="6765"/>
      <c r="AT36" s="6765"/>
      <c r="AU36" s="6765"/>
      <c r="AV36" s="6765"/>
      <c r="AW36" s="6765"/>
      <c r="AX36" s="6765"/>
      <c r="AY36" s="6765"/>
      <c r="AZ36" s="6765"/>
      <c r="BA36" s="253"/>
      <c r="BB36" s="253"/>
      <c r="BC36" s="200"/>
      <c r="BD36" s="296"/>
      <c r="BE36" s="296"/>
      <c r="BF36" s="296"/>
      <c r="BG36" s="296"/>
      <c r="BH36" s="296"/>
    </row>
    <row r="37" spans="1:60" s="2072" customFormat="1" ht="18.75" hidden="1" customHeight="1">
      <c r="A37" s="1284"/>
      <c r="B37" s="1284"/>
      <c r="C37" s="1284"/>
      <c r="D37" s="1284"/>
      <c r="E37" s="1284"/>
      <c r="F37" s="1284"/>
      <c r="G37" s="1284"/>
      <c r="H37" s="1284"/>
      <c r="I37" s="1284"/>
      <c r="J37" s="1284"/>
      <c r="K37" s="1284"/>
      <c r="L37" s="1285"/>
      <c r="M37" s="1284"/>
      <c r="N37" s="1284"/>
      <c r="O37" s="1284"/>
      <c r="P37" s="1284"/>
      <c r="Q37" s="1284"/>
      <c r="S37" s="6755" t="s">
        <v>541</v>
      </c>
      <c r="T37" s="6755"/>
      <c r="U37" s="1288"/>
      <c r="V37" s="6756" t="str">
        <f>IF(TITLE_NUMBER_PR_CHANGE="",IF(TITLE_NUMBER_PR="","",TITLE_NUMBER_PR),TITLE_NUMBER_PR_CHANGE)</f>
        <v>124 т, 125 т, 126 т, 169 т</v>
      </c>
      <c r="W37" s="6756"/>
      <c r="X37" s="6756"/>
      <c r="Y37" s="6756"/>
      <c r="Z37" s="6756"/>
      <c r="AA37" s="6756"/>
      <c r="AB37" s="6756"/>
      <c r="AC37" s="253"/>
      <c r="AD37" s="6756" t="str">
        <f>IF(TITLE_NUMBER_PR_CHANGE="",IF(TITLE_NUMBER_PR="","",TITLE_NUMBER_PR),TITLE_NUMBER_PR_CHANGE)</f>
        <v>124 т, 125 т, 126 т, 169 т</v>
      </c>
      <c r="AE37" s="6756"/>
      <c r="AF37" s="6756"/>
      <c r="AG37" s="6756"/>
      <c r="AH37" s="6756"/>
      <c r="AI37" s="6756"/>
      <c r="AJ37" s="6756"/>
      <c r="AK37" s="6756"/>
      <c r="AL37" s="6756"/>
      <c r="AM37" s="6756"/>
      <c r="AN37" s="6756"/>
      <c r="AO37" s="6756"/>
      <c r="AP37" s="6756"/>
      <c r="AQ37" s="6756"/>
      <c r="AR37" s="6756"/>
      <c r="AS37" s="6756"/>
      <c r="AT37" s="6756"/>
      <c r="AU37" s="6756"/>
      <c r="AV37" s="6756"/>
      <c r="AW37" s="6756"/>
      <c r="AX37" s="6756"/>
      <c r="AY37" s="6756"/>
      <c r="AZ37" s="6756"/>
      <c r="BA37" s="253"/>
      <c r="BB37" s="253"/>
      <c r="BC37" s="200"/>
      <c r="BD37" s="296"/>
      <c r="BE37" s="296"/>
      <c r="BF37" s="296"/>
      <c r="BG37" s="296"/>
      <c r="BH37" s="296"/>
    </row>
    <row r="38" spans="1:60" s="207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6"/>
      <c r="V38" s="253"/>
      <c r="W38" s="253"/>
      <c r="X38" s="253"/>
      <c r="Y38" s="253"/>
      <c r="Z38" s="253"/>
      <c r="AA38" s="253"/>
      <c r="AB38" s="253"/>
      <c r="AC38" s="198" t="s">
        <v>544</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544</v>
      </c>
      <c r="BD38" s="296"/>
      <c r="BE38" s="296"/>
      <c r="BF38" s="296"/>
      <c r="BG38" s="296"/>
      <c r="BH38" s="296"/>
    </row>
    <row r="39" spans="1:60" ht="14.25" customHeight="1">
      <c r="Q39" s="210"/>
      <c r="R39" s="305"/>
      <c r="S39" s="1195"/>
      <c r="T39" s="290"/>
      <c r="U39" s="1153"/>
      <c r="V39" s="6757"/>
      <c r="W39" s="6757"/>
      <c r="X39" s="6757"/>
      <c r="Y39" s="6757"/>
      <c r="Z39" s="6757"/>
      <c r="AA39" s="6757"/>
      <c r="AB39" s="6757"/>
      <c r="AC39" s="6757"/>
      <c r="AD39" s="6757"/>
      <c r="AE39" s="6757"/>
      <c r="AF39" s="6757"/>
      <c r="AG39" s="6757"/>
      <c r="AH39" s="6757"/>
      <c r="AI39" s="6757"/>
      <c r="AJ39" s="6757"/>
      <c r="AK39" s="6757"/>
      <c r="AL39" s="6757"/>
      <c r="AM39" s="6757"/>
      <c r="AN39" s="6757"/>
      <c r="AO39" s="6757"/>
      <c r="AP39" s="6757"/>
      <c r="AQ39" s="6757"/>
      <c r="AR39" s="6757"/>
      <c r="AS39" s="6757"/>
      <c r="AT39" s="6757"/>
      <c r="AU39" s="6757"/>
      <c r="AV39" s="6757"/>
      <c r="AW39" s="6757"/>
      <c r="AX39" s="6757"/>
      <c r="AY39" s="6757"/>
      <c r="AZ39" s="6757"/>
      <c r="BA39" s="6757"/>
    </row>
    <row r="40" spans="1:60" ht="14.25" customHeight="1">
      <c r="Q40" s="210"/>
      <c r="R40" s="305"/>
      <c r="S40" s="6629" t="s">
        <v>418</v>
      </c>
      <c r="T40" s="6629"/>
      <c r="U40" s="6629"/>
      <c r="V40" s="6629"/>
      <c r="W40" s="6629"/>
      <c r="X40" s="6629"/>
      <c r="Y40" s="6629"/>
      <c r="Z40" s="6629"/>
      <c r="AA40" s="6629"/>
      <c r="AB40" s="6629"/>
      <c r="AC40" s="6629"/>
      <c r="AD40" s="6629"/>
      <c r="AE40" s="6629"/>
      <c r="AF40" s="6629"/>
      <c r="AG40" s="6629"/>
      <c r="AH40" s="6629"/>
      <c r="AI40" s="6629"/>
      <c r="AJ40" s="6629"/>
      <c r="AK40" s="6629"/>
      <c r="AL40" s="6629"/>
      <c r="AM40" s="6629"/>
      <c r="AN40" s="6629"/>
      <c r="AO40" s="6629"/>
      <c r="AP40" s="6629"/>
      <c r="AQ40" s="6629"/>
      <c r="AR40" s="6629"/>
      <c r="AS40" s="6629"/>
      <c r="AT40" s="6629"/>
      <c r="AU40" s="6629"/>
      <c r="AV40" s="6629"/>
      <c r="AW40" s="6629"/>
      <c r="AX40" s="6629"/>
      <c r="AY40" s="6629"/>
      <c r="AZ40" s="6629"/>
      <c r="BA40" s="6629"/>
      <c r="BB40" s="6629"/>
      <c r="BC40" s="6629" t="s">
        <v>419</v>
      </c>
    </row>
    <row r="41" spans="1:60" ht="14.25" customHeight="1">
      <c r="Q41" s="210"/>
      <c r="R41" s="305"/>
      <c r="S41" s="6771" t="s">
        <v>87</v>
      </c>
      <c r="T41" s="6723" t="s">
        <v>630</v>
      </c>
      <c r="U41" s="220"/>
      <c r="V41" s="6772" t="s">
        <v>546</v>
      </c>
      <c r="W41" s="6773"/>
      <c r="X41" s="6773"/>
      <c r="Y41" s="6773"/>
      <c r="Z41" s="6773"/>
      <c r="AA41" s="6773"/>
      <c r="AB41" s="6774"/>
      <c r="AC41" s="6775" t="s">
        <v>547</v>
      </c>
      <c r="AD41" s="6801" t="s">
        <v>631</v>
      </c>
      <c r="AE41" s="6787"/>
      <c r="AF41" s="6787"/>
      <c r="AG41" s="6802"/>
      <c r="AH41" s="6801" t="s">
        <v>632</v>
      </c>
      <c r="AI41" s="6787"/>
      <c r="AJ41" s="6787"/>
      <c r="AK41" s="6802"/>
      <c r="AL41" s="6801" t="s">
        <v>633</v>
      </c>
      <c r="AM41" s="6787"/>
      <c r="AN41" s="6787"/>
      <c r="AO41" s="6802"/>
      <c r="AP41" s="6801" t="s">
        <v>634</v>
      </c>
      <c r="AQ41" s="6787"/>
      <c r="AR41" s="6787"/>
      <c r="AS41" s="6802"/>
      <c r="AT41" s="6772" t="s">
        <v>546</v>
      </c>
      <c r="AU41" s="6773"/>
      <c r="AV41" s="6773"/>
      <c r="AW41" s="6773"/>
      <c r="AX41" s="6773"/>
      <c r="AY41" s="6773"/>
      <c r="AZ41" s="6774"/>
      <c r="BA41" s="6775" t="s">
        <v>547</v>
      </c>
      <c r="BB41" s="6778" t="s">
        <v>549</v>
      </c>
      <c r="BC41" s="6629"/>
    </row>
    <row r="42" spans="1:60" ht="33.75" customHeight="1">
      <c r="Q42" s="210"/>
      <c r="R42" s="305"/>
      <c r="S42" s="6771"/>
      <c r="T42" s="6723"/>
      <c r="U42" s="938"/>
      <c r="V42" s="6708" t="s">
        <v>635</v>
      </c>
      <c r="W42" s="6709"/>
      <c r="X42" s="6708" t="s">
        <v>636</v>
      </c>
      <c r="Y42" s="6709"/>
      <c r="Z42" s="6708" t="s">
        <v>637</v>
      </c>
      <c r="AA42" s="6796"/>
      <c r="AB42" s="6709"/>
      <c r="AC42" s="6776"/>
      <c r="AD42" s="6803"/>
      <c r="AE42" s="6804"/>
      <c r="AF42" s="6804"/>
      <c r="AG42" s="6805"/>
      <c r="AH42" s="6803"/>
      <c r="AI42" s="6804"/>
      <c r="AJ42" s="6804"/>
      <c r="AK42" s="6805"/>
      <c r="AL42" s="6803"/>
      <c r="AM42" s="6804"/>
      <c r="AN42" s="6804"/>
      <c r="AO42" s="6805"/>
      <c r="AP42" s="6803"/>
      <c r="AQ42" s="6804"/>
      <c r="AR42" s="6804"/>
      <c r="AS42" s="6805"/>
      <c r="AT42" s="6708" t="s">
        <v>635</v>
      </c>
      <c r="AU42" s="6709"/>
      <c r="AV42" s="6708" t="s">
        <v>636</v>
      </c>
      <c r="AW42" s="6709"/>
      <c r="AX42" s="6708" t="s">
        <v>637</v>
      </c>
      <c r="AY42" s="6796"/>
      <c r="AZ42" s="6709"/>
      <c r="BA42" s="6776"/>
      <c r="BB42" s="6779"/>
      <c r="BC42" s="6629"/>
    </row>
    <row r="43" spans="1:60" ht="14.25" customHeight="1">
      <c r="Q43" s="210"/>
      <c r="R43" s="305"/>
      <c r="S43" s="6771"/>
      <c r="T43" s="6723"/>
      <c r="U43" s="938"/>
      <c r="V43" s="6713"/>
      <c r="W43" s="6714"/>
      <c r="X43" s="6713"/>
      <c r="Y43" s="6714"/>
      <c r="Z43" s="6713"/>
      <c r="AA43" s="6797"/>
      <c r="AB43" s="6714"/>
      <c r="AC43" s="6776"/>
      <c r="AD43" s="6803"/>
      <c r="AE43" s="6804"/>
      <c r="AF43" s="6804"/>
      <c r="AG43" s="6805"/>
      <c r="AH43" s="6803"/>
      <c r="AI43" s="6804"/>
      <c r="AJ43" s="6804"/>
      <c r="AK43" s="6805"/>
      <c r="AL43" s="6803"/>
      <c r="AM43" s="6804"/>
      <c r="AN43" s="6804"/>
      <c r="AO43" s="6805"/>
      <c r="AP43" s="6803"/>
      <c r="AQ43" s="6804"/>
      <c r="AR43" s="6804"/>
      <c r="AS43" s="6805"/>
      <c r="AT43" s="6713"/>
      <c r="AU43" s="6714"/>
      <c r="AV43" s="6713"/>
      <c r="AW43" s="6714"/>
      <c r="AX43" s="6713"/>
      <c r="AY43" s="6797"/>
      <c r="AZ43" s="6714"/>
      <c r="BA43" s="6776"/>
      <c r="BB43" s="6779"/>
      <c r="BC43" s="6629"/>
    </row>
    <row r="44" spans="1:60" ht="14.25" customHeight="1">
      <c r="A44" s="1286"/>
      <c r="B44" s="1286" t="s">
        <v>201</v>
      </c>
      <c r="C44" s="1286" t="s">
        <v>202</v>
      </c>
      <c r="D44" s="1286" t="s">
        <v>203</v>
      </c>
      <c r="E44" s="1280" t="s">
        <v>554</v>
      </c>
      <c r="F44" s="1280" t="s">
        <v>555</v>
      </c>
      <c r="G44" s="1280" t="s">
        <v>556</v>
      </c>
      <c r="H44" s="1280" t="s">
        <v>557</v>
      </c>
      <c r="I44" s="1280" t="s">
        <v>558</v>
      </c>
      <c r="J44" s="1280" t="s">
        <v>559</v>
      </c>
      <c r="K44" s="1280" t="s">
        <v>560</v>
      </c>
      <c r="L44" s="1280" t="s">
        <v>535</v>
      </c>
      <c r="Q44" s="210"/>
      <c r="R44" s="305"/>
      <c r="S44" s="6771"/>
      <c r="T44" s="6723"/>
      <c r="U44" s="221"/>
      <c r="V44" s="1360" t="s">
        <v>598</v>
      </c>
      <c r="W44" s="1360" t="s">
        <v>599</v>
      </c>
      <c r="X44" s="1360" t="s">
        <v>598</v>
      </c>
      <c r="Y44" s="1360" t="s">
        <v>599</v>
      </c>
      <c r="Z44" s="1367" t="s">
        <v>563</v>
      </c>
      <c r="AA44" s="6731" t="s">
        <v>564</v>
      </c>
      <c r="AB44" s="6733"/>
      <c r="AC44" s="6777"/>
      <c r="AD44" s="6806"/>
      <c r="AE44" s="6807"/>
      <c r="AF44" s="6807"/>
      <c r="AG44" s="6808"/>
      <c r="AH44" s="6806"/>
      <c r="AI44" s="6807"/>
      <c r="AJ44" s="6807"/>
      <c r="AK44" s="6808"/>
      <c r="AL44" s="6806"/>
      <c r="AM44" s="6807"/>
      <c r="AN44" s="6807"/>
      <c r="AO44" s="6808"/>
      <c r="AP44" s="6806"/>
      <c r="AQ44" s="6807"/>
      <c r="AR44" s="6807"/>
      <c r="AS44" s="6808"/>
      <c r="AT44" s="1360" t="s">
        <v>598</v>
      </c>
      <c r="AU44" s="1360" t="s">
        <v>599</v>
      </c>
      <c r="AV44" s="1360" t="s">
        <v>598</v>
      </c>
      <c r="AW44" s="1360" t="s">
        <v>599</v>
      </c>
      <c r="AX44" s="1367" t="s">
        <v>563</v>
      </c>
      <c r="AY44" s="6731" t="s">
        <v>564</v>
      </c>
      <c r="AZ44" s="6733"/>
      <c r="BA44" s="6777"/>
      <c r="BB44" s="6780"/>
      <c r="BC44" s="6629"/>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178</v>
      </c>
      <c r="T45" s="1172" t="s">
        <v>98</v>
      </c>
      <c r="U45" s="1154" t="str">
        <f ca="1">OFFSET(U45,0,-1)</f>
        <v>2</v>
      </c>
      <c r="V45" s="1363">
        <f t="shared" ref="V45:AA45" ca="1" si="2">OFFSET(V45,0,-1)+1</f>
        <v>3</v>
      </c>
      <c r="W45" s="1363">
        <f t="shared" ca="1" si="2"/>
        <v>4</v>
      </c>
      <c r="X45" s="1363">
        <f t="shared" ca="1" si="2"/>
        <v>5</v>
      </c>
      <c r="Y45" s="1363">
        <f t="shared" ca="1" si="2"/>
        <v>6</v>
      </c>
      <c r="Z45" s="1363">
        <f t="shared" ca="1" si="2"/>
        <v>7</v>
      </c>
      <c r="AA45" s="6770">
        <f t="shared" ca="1" si="2"/>
        <v>8</v>
      </c>
      <c r="AB45" s="6770"/>
      <c r="AC45" s="1363">
        <f ca="1">OFFSET(AC45,0,-2)+1</f>
        <v>9</v>
      </c>
      <c r="AD45" s="1363">
        <f ca="1">OFFSET(AD45,0,-1)+1</f>
        <v>10</v>
      </c>
      <c r="AE45" s="1363"/>
      <c r="AF45" s="1363"/>
      <c r="AG45" s="1363"/>
      <c r="AH45" s="1363"/>
      <c r="AI45" s="1363"/>
      <c r="AJ45" s="1363"/>
      <c r="AK45" s="1363"/>
      <c r="AL45" s="1363"/>
      <c r="AM45" s="1363"/>
      <c r="AN45" s="1363"/>
      <c r="AO45" s="1363"/>
      <c r="AP45" s="1363"/>
      <c r="AQ45" s="1363"/>
      <c r="AR45" s="1363"/>
      <c r="AS45" s="1363"/>
      <c r="AT45" s="1363"/>
      <c r="AU45" s="1363"/>
      <c r="AV45" s="1363"/>
      <c r="AW45" s="1363">
        <f ca="1">OFFSET(AW45,0,-1)+1</f>
        <v>1</v>
      </c>
      <c r="AX45" s="1363">
        <f ca="1">OFFSET(AX45,0,-1)+1</f>
        <v>2</v>
      </c>
      <c r="AY45" s="6770">
        <f ca="1">OFFSET(AY45,0,-1)+1</f>
        <v>3</v>
      </c>
      <c r="AZ45" s="6770"/>
      <c r="BA45" s="1363">
        <f ca="1">OFFSET(BA45,0,-2)+1</f>
        <v>4</v>
      </c>
      <c r="BB45" s="1154">
        <f ca="1">OFFSET(BB45,0,-1)</f>
        <v>4</v>
      </c>
      <c r="BC45" s="1363">
        <f ca="1">OFFSET(BC45,0,-1)+1</f>
        <v>5</v>
      </c>
      <c r="BD45" s="437"/>
      <c r="BE45" s="437"/>
      <c r="BF45" s="437"/>
      <c r="BG45" s="437"/>
      <c r="BH45" s="437"/>
    </row>
    <row r="46" spans="1:60" ht="21" customHeight="1">
      <c r="A46" s="1279" t="s">
        <v>364</v>
      </c>
      <c r="B46" s="1279"/>
      <c r="C46" s="1279"/>
      <c r="D46" s="1279"/>
      <c r="E46" s="6763">
        <v>1</v>
      </c>
      <c r="F46" s="1279"/>
      <c r="G46" s="1279"/>
      <c r="H46" s="1279"/>
      <c r="I46" s="1279"/>
      <c r="J46" s="1279"/>
      <c r="K46" s="1279"/>
      <c r="L46" s="1280"/>
      <c r="M46" s="1281"/>
      <c r="N46" s="1281"/>
      <c r="O46" s="1281"/>
      <c r="P46" s="1324"/>
      <c r="Q46" s="786"/>
      <c r="R46" s="280"/>
      <c r="S46" s="1369">
        <f>INDEX(PT_DIFFERENTIATION_NUM_NTAR,MATCH(A46,PT_DIFFERENTIATION_NTAR_ID,0))</f>
        <v>0</v>
      </c>
      <c r="T46" s="217" t="s">
        <v>189</v>
      </c>
      <c r="U46" s="219"/>
      <c r="V46" s="6750"/>
      <c r="W46" s="6750"/>
      <c r="X46" s="6750"/>
      <c r="Y46" s="6750"/>
      <c r="Z46" s="6750"/>
      <c r="AA46" s="6750"/>
      <c r="AB46" s="6750"/>
      <c r="AC46" s="6751"/>
      <c r="AD46" s="6749" t="str">
        <f>INDEX(PT_DIFFERENTIATION_NTAR,MATCH(A46,PT_DIFFERENTIATION_NTAR_ID,0))</f>
        <v/>
      </c>
      <c r="AE46" s="6750"/>
      <c r="AF46" s="6750"/>
      <c r="AG46" s="6750"/>
      <c r="AH46" s="6750"/>
      <c r="AI46" s="6750"/>
      <c r="AJ46" s="6750"/>
      <c r="AK46" s="6750"/>
      <c r="AL46" s="6750"/>
      <c r="AM46" s="6750"/>
      <c r="AN46" s="6750"/>
      <c r="AO46" s="6750"/>
      <c r="AP46" s="6750"/>
      <c r="AQ46" s="6750"/>
      <c r="AR46" s="6750"/>
      <c r="AS46" s="6750"/>
      <c r="AT46" s="6750"/>
      <c r="AU46" s="6750"/>
      <c r="AV46" s="6750"/>
      <c r="AW46" s="6750"/>
      <c r="AX46" s="6750"/>
      <c r="AY46" s="6750"/>
      <c r="AZ46" s="6750"/>
      <c r="BA46" s="6750"/>
      <c r="BB46" s="67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364</v>
      </c>
      <c r="B47" s="1279" t="s">
        <v>365</v>
      </c>
      <c r="C47" s="1279"/>
      <c r="D47" s="1279"/>
      <c r="E47" s="6764"/>
      <c r="F47" s="6763">
        <v>1</v>
      </c>
      <c r="G47" s="1279"/>
      <c r="H47" s="1279"/>
      <c r="I47" s="1279"/>
      <c r="J47" s="1279"/>
      <c r="K47" s="1279"/>
      <c r="L47" s="1280"/>
      <c r="M47" s="1281"/>
      <c r="N47" s="1281"/>
      <c r="O47" s="1281"/>
      <c r="P47" s="1325"/>
      <c r="Q47" s="1326"/>
      <c r="R47" s="278"/>
      <c r="S47" s="1369" t="str">
        <f>INDEX(PT_DIFFERENTIATION_NUM_TER,MATCH(B47,PT_DIFFERENTIATION_TER_ID,0))</f>
        <v>.</v>
      </c>
      <c r="T47" s="229" t="s">
        <v>517</v>
      </c>
      <c r="U47" s="219"/>
      <c r="V47" s="6750"/>
      <c r="W47" s="6750"/>
      <c r="X47" s="6750"/>
      <c r="Y47" s="6750"/>
      <c r="Z47" s="6750"/>
      <c r="AA47" s="6750"/>
      <c r="AB47" s="6750"/>
      <c r="AC47" s="6751"/>
      <c r="AD47" s="6749" t="str">
        <f>INDEX(PT_DIFFERENTIATION_TER,MATCH(B47,PT_DIFFERENTIATION_TER_ID,0))</f>
        <v/>
      </c>
      <c r="AE47" s="6750"/>
      <c r="AF47" s="6750"/>
      <c r="AG47" s="6750"/>
      <c r="AH47" s="6750"/>
      <c r="AI47" s="6750"/>
      <c r="AJ47" s="6750"/>
      <c r="AK47" s="6750"/>
      <c r="AL47" s="6750"/>
      <c r="AM47" s="6750"/>
      <c r="AN47" s="6750"/>
      <c r="AO47" s="6750"/>
      <c r="AP47" s="6750"/>
      <c r="AQ47" s="6750"/>
      <c r="AR47" s="6750"/>
      <c r="AS47" s="6750"/>
      <c r="AT47" s="6750"/>
      <c r="AU47" s="6750"/>
      <c r="AV47" s="6750"/>
      <c r="AW47" s="6750"/>
      <c r="AX47" s="6750"/>
      <c r="AY47" s="6750"/>
      <c r="AZ47" s="6750"/>
      <c r="BA47" s="6750"/>
      <c r="BB47" s="6751"/>
      <c r="BC47" s="1177" t="s">
        <v>518</v>
      </c>
      <c r="BE47" s="426"/>
      <c r="BF47" s="426" t="str">
        <f t="shared" si="3"/>
        <v>Территория действия тарифа</v>
      </c>
      <c r="BG47" s="426"/>
      <c r="BH47" s="426"/>
    </row>
    <row r="48" spans="1:60" ht="42" customHeight="1">
      <c r="A48" s="1279" t="s">
        <v>364</v>
      </c>
      <c r="B48" s="1279" t="s">
        <v>365</v>
      </c>
      <c r="C48" s="1279" t="s">
        <v>366</v>
      </c>
      <c r="D48" s="1279"/>
      <c r="E48" s="6764"/>
      <c r="F48" s="6764"/>
      <c r="G48" s="6763">
        <v>1</v>
      </c>
      <c r="H48" s="1279"/>
      <c r="I48" s="1279"/>
      <c r="J48" s="1279"/>
      <c r="K48" s="1279"/>
      <c r="L48" s="1280"/>
      <c r="M48" s="1281"/>
      <c r="N48" s="1281"/>
      <c r="O48" s="1281"/>
      <c r="P48" s="1327"/>
      <c r="Q48" s="1326"/>
      <c r="R48" s="278"/>
      <c r="S48" s="1369" t="str">
        <f>INDEX(PT_DIFFERENTIATION_NUM_CS,MATCH(C48,PT_DIFFERENTIATION_CS_ID,0))</f>
        <v>..</v>
      </c>
      <c r="T48" s="230" t="s">
        <v>606</v>
      </c>
      <c r="U48" s="219"/>
      <c r="V48" s="6750"/>
      <c r="W48" s="6750"/>
      <c r="X48" s="6750"/>
      <c r="Y48" s="6750"/>
      <c r="Z48" s="6750"/>
      <c r="AA48" s="6750"/>
      <c r="AB48" s="6750"/>
      <c r="AC48" s="6751"/>
      <c r="AD48" s="6749" t="str">
        <f>INDEX(PT_DIFFERENTIATION_CS,MATCH(C48,PT_DIFFERENTIATION_CS_ID,0))</f>
        <v/>
      </c>
      <c r="AE48" s="6750"/>
      <c r="AF48" s="6750"/>
      <c r="AG48" s="6750"/>
      <c r="AH48" s="6750"/>
      <c r="AI48" s="6750"/>
      <c r="AJ48" s="6750"/>
      <c r="AK48" s="6750"/>
      <c r="AL48" s="6750"/>
      <c r="AM48" s="6750"/>
      <c r="AN48" s="6750"/>
      <c r="AO48" s="6750"/>
      <c r="AP48" s="6750"/>
      <c r="AQ48" s="6750"/>
      <c r="AR48" s="6750"/>
      <c r="AS48" s="6750"/>
      <c r="AT48" s="6750"/>
      <c r="AU48" s="6750"/>
      <c r="AV48" s="6750"/>
      <c r="AW48" s="6750"/>
      <c r="AX48" s="6750"/>
      <c r="AY48" s="6750"/>
      <c r="AZ48" s="6750"/>
      <c r="BA48" s="6750"/>
      <c r="BB48" s="6751"/>
      <c r="BC48" s="1177" t="s">
        <v>607</v>
      </c>
      <c r="BE48" s="426"/>
      <c r="BF48" s="426" t="str">
        <f t="shared" si="3"/>
        <v>Наименование централизованной системы холодного водоснабжения</v>
      </c>
      <c r="BG48" s="426"/>
      <c r="BH48" s="426"/>
    </row>
    <row r="49" spans="1:60" s="1817" customFormat="1" ht="0" hidden="1" customHeight="1">
      <c r="A49" s="1260" t="s">
        <v>364</v>
      </c>
      <c r="B49" s="1260" t="s">
        <v>365</v>
      </c>
      <c r="C49" s="1260" t="s">
        <v>366</v>
      </c>
      <c r="D49" s="1260" t="s">
        <v>638</v>
      </c>
      <c r="E49" s="6764"/>
      <c r="F49" s="6764"/>
      <c r="G49" s="6764"/>
      <c r="H49" s="6763">
        <v>1</v>
      </c>
      <c r="I49" s="1260"/>
      <c r="J49" s="1260"/>
      <c r="K49" s="1260"/>
      <c r="L49" s="1263"/>
      <c r="M49" s="1233"/>
      <c r="N49" s="1233"/>
      <c r="O49" s="1233"/>
      <c r="P49" s="1406"/>
      <c r="Q49" s="1407"/>
      <c r="R49" s="282"/>
      <c r="S49" s="949"/>
      <c r="T49" s="1408"/>
      <c r="U49" s="1300"/>
      <c r="V49" s="6791"/>
      <c r="W49" s="6791"/>
      <c r="X49" s="6791"/>
      <c r="Y49" s="6791"/>
      <c r="Z49" s="6791"/>
      <c r="AA49" s="6791"/>
      <c r="AB49" s="6791"/>
      <c r="AC49" s="6792"/>
      <c r="AD49" s="6790"/>
      <c r="AE49" s="6791"/>
      <c r="AF49" s="6791"/>
      <c r="AG49" s="6791"/>
      <c r="AH49" s="6791"/>
      <c r="AI49" s="6791"/>
      <c r="AJ49" s="6791"/>
      <c r="AK49" s="6791"/>
      <c r="AL49" s="6791"/>
      <c r="AM49" s="6791"/>
      <c r="AN49" s="6791"/>
      <c r="AO49" s="6791"/>
      <c r="AP49" s="6791"/>
      <c r="AQ49" s="6791"/>
      <c r="AR49" s="6791"/>
      <c r="AS49" s="6791"/>
      <c r="AT49" s="6791"/>
      <c r="AU49" s="6791"/>
      <c r="AV49" s="6791"/>
      <c r="AW49" s="6791"/>
      <c r="AX49" s="6791"/>
      <c r="AY49" s="6791"/>
      <c r="AZ49" s="6791"/>
      <c r="BA49" s="6791"/>
      <c r="BB49" s="6792"/>
      <c r="BC49" s="1301" t="s">
        <v>522</v>
      </c>
      <c r="BE49" s="426"/>
      <c r="BF49" s="426" t="str">
        <f t="shared" si="3"/>
        <v/>
      </c>
      <c r="BG49" s="426"/>
      <c r="BH49" s="426"/>
    </row>
    <row r="50" spans="1:60" s="1817" customFormat="1" ht="0" hidden="1" customHeight="1">
      <c r="A50" s="1260" t="s">
        <v>364</v>
      </c>
      <c r="B50" s="1260" t="s">
        <v>365</v>
      </c>
      <c r="C50" s="1260" t="s">
        <v>366</v>
      </c>
      <c r="D50" s="1260" t="s">
        <v>638</v>
      </c>
      <c r="E50" s="6764"/>
      <c r="F50" s="6764"/>
      <c r="G50" s="6764"/>
      <c r="H50" s="6764"/>
      <c r="I50" s="6761" t="str">
        <f>S49&amp;".1"</f>
        <v>.1</v>
      </c>
      <c r="J50" s="1260"/>
      <c r="K50" s="1260"/>
      <c r="L50" s="1263" t="s">
        <v>523</v>
      </c>
      <c r="M50" s="436"/>
      <c r="N50" s="436"/>
      <c r="O50" s="436"/>
      <c r="P50" s="6762">
        <v>1</v>
      </c>
      <c r="Q50" s="1373"/>
      <c r="R50" s="281"/>
      <c r="S50" s="949"/>
      <c r="T50" s="1299"/>
      <c r="U50" s="1300"/>
      <c r="V50" s="6791"/>
      <c r="W50" s="6791"/>
      <c r="X50" s="6791"/>
      <c r="Y50" s="6791"/>
      <c r="Z50" s="6791"/>
      <c r="AA50" s="6791"/>
      <c r="AB50" s="6791"/>
      <c r="AC50" s="6792"/>
      <c r="AD50" s="6790"/>
      <c r="AE50" s="6791"/>
      <c r="AF50" s="6791"/>
      <c r="AG50" s="6791"/>
      <c r="AH50" s="6791"/>
      <c r="AI50" s="6791"/>
      <c r="AJ50" s="6791"/>
      <c r="AK50" s="6791"/>
      <c r="AL50" s="6791"/>
      <c r="AM50" s="6791"/>
      <c r="AN50" s="6791"/>
      <c r="AO50" s="6791"/>
      <c r="AP50" s="6791"/>
      <c r="AQ50" s="6791"/>
      <c r="AR50" s="6791"/>
      <c r="AS50" s="6791"/>
      <c r="AT50" s="6791"/>
      <c r="AU50" s="6791"/>
      <c r="AV50" s="6791"/>
      <c r="AW50" s="6791"/>
      <c r="AX50" s="6791"/>
      <c r="AY50" s="6791"/>
      <c r="AZ50" s="6791"/>
      <c r="BA50" s="6791"/>
      <c r="BB50" s="6792"/>
      <c r="BC50" s="1301"/>
      <c r="BE50" s="426"/>
      <c r="BF50" s="426" t="str">
        <f t="shared" si="3"/>
        <v/>
      </c>
      <c r="BG50" s="426"/>
      <c r="BH50" s="426"/>
    </row>
    <row r="51" spans="1:60" s="1817" customFormat="1" ht="0" hidden="1" customHeight="1">
      <c r="A51" s="1260" t="s">
        <v>364</v>
      </c>
      <c r="B51" s="1260" t="s">
        <v>365</v>
      </c>
      <c r="C51" s="1260" t="s">
        <v>366</v>
      </c>
      <c r="D51" s="1260" t="s">
        <v>638</v>
      </c>
      <c r="E51" s="6764"/>
      <c r="F51" s="6764"/>
      <c r="G51" s="6764"/>
      <c r="H51" s="6764"/>
      <c r="I51" s="6784"/>
      <c r="J51" s="6761" t="str">
        <f>S49&amp;".1"</f>
        <v>.1</v>
      </c>
      <c r="K51" s="1260"/>
      <c r="L51" s="1263"/>
      <c r="M51" s="436"/>
      <c r="N51" s="436"/>
      <c r="O51" s="436"/>
      <c r="P51" s="6762"/>
      <c r="Q51" s="6762">
        <v>1</v>
      </c>
      <c r="R51" s="282"/>
      <c r="S51" s="949"/>
      <c r="T51" s="1315"/>
      <c r="U51" s="1300"/>
      <c r="V51" s="6791"/>
      <c r="W51" s="6791"/>
      <c r="X51" s="6791"/>
      <c r="Y51" s="6791"/>
      <c r="Z51" s="6791"/>
      <c r="AA51" s="6791"/>
      <c r="AB51" s="6791"/>
      <c r="AC51" s="6792"/>
      <c r="AD51" s="6790"/>
      <c r="AE51" s="6791"/>
      <c r="AF51" s="6791"/>
      <c r="AG51" s="6791"/>
      <c r="AH51" s="6791"/>
      <c r="AI51" s="6791"/>
      <c r="AJ51" s="6791"/>
      <c r="AK51" s="6791"/>
      <c r="AL51" s="6791"/>
      <c r="AM51" s="6791"/>
      <c r="AN51" s="6837"/>
      <c r="AO51" s="6837"/>
      <c r="AP51" s="6791"/>
      <c r="AQ51" s="6791"/>
      <c r="AR51" s="6791"/>
      <c r="AS51" s="6791"/>
      <c r="AT51" s="6791"/>
      <c r="AU51" s="6791"/>
      <c r="AV51" s="6791"/>
      <c r="AW51" s="6791"/>
      <c r="AX51" s="6791"/>
      <c r="AY51" s="6791"/>
      <c r="AZ51" s="6791"/>
      <c r="BA51" s="6791"/>
      <c r="BB51" s="6792"/>
      <c r="BC51" s="1301"/>
      <c r="BE51" s="426"/>
      <c r="BF51" s="426" t="str">
        <f t="shared" si="3"/>
        <v/>
      </c>
      <c r="BG51" s="426"/>
      <c r="BH51" s="426"/>
    </row>
    <row r="52" spans="1:60" ht="11.25" customHeight="1">
      <c r="A52" s="1279" t="s">
        <v>364</v>
      </c>
      <c r="B52" s="1279" t="s">
        <v>365</v>
      </c>
      <c r="C52" s="1279" t="s">
        <v>366</v>
      </c>
      <c r="D52" s="1279" t="s">
        <v>638</v>
      </c>
      <c r="E52" s="6764"/>
      <c r="F52" s="6764"/>
      <c r="G52" s="6764"/>
      <c r="H52" s="6764"/>
      <c r="I52" s="6784"/>
      <c r="J52" s="6784"/>
      <c r="K52" s="6761" t="str">
        <f>S48&amp;".1"</f>
        <v>...1</v>
      </c>
      <c r="L52" s="1280"/>
      <c r="P52" s="6762"/>
      <c r="Q52" s="6762"/>
      <c r="R52" s="282">
        <v>1</v>
      </c>
      <c r="S52" s="6813" t="str">
        <f>$K52</f>
        <v>...1</v>
      </c>
      <c r="T52" s="6833"/>
      <c r="U52" s="219"/>
      <c r="V52" s="668"/>
      <c r="W52" s="1176"/>
      <c r="X52" s="668"/>
      <c r="Y52" s="1176"/>
      <c r="Z52" s="1643"/>
      <c r="AA52" s="1371" t="s">
        <v>61</v>
      </c>
      <c r="AB52" s="1643"/>
      <c r="AC52" s="1371" t="s">
        <v>61</v>
      </c>
      <c r="AD52" s="6688" t="s">
        <v>61</v>
      </c>
      <c r="AE52" s="6799"/>
      <c r="AF52" s="6718">
        <v>1</v>
      </c>
      <c r="AG52" s="6836"/>
      <c r="AH52" s="6610" t="s">
        <v>61</v>
      </c>
      <c r="AI52" s="6799"/>
      <c r="AJ52" s="6718">
        <v>1</v>
      </c>
      <c r="AK52" s="6820" t="s">
        <v>24</v>
      </c>
      <c r="AL52" s="6610" t="s">
        <v>61</v>
      </c>
      <c r="AM52" s="6708"/>
      <c r="AN52" s="6718">
        <v>1</v>
      </c>
      <c r="AO52" s="6830"/>
      <c r="AP52" s="6831" t="s">
        <v>61</v>
      </c>
      <c r="AQ52" s="232"/>
      <c r="AR52" s="1374">
        <v>1</v>
      </c>
      <c r="AS52" s="1377" t="s">
        <v>24</v>
      </c>
      <c r="AT52" s="668"/>
      <c r="AU52" s="1176"/>
      <c r="AV52" s="668"/>
      <c r="AW52" s="1176"/>
      <c r="AX52" s="1643"/>
      <c r="AY52" s="1371" t="s">
        <v>61</v>
      </c>
      <c r="AZ52" s="1643"/>
      <c r="BA52" s="1371" t="s">
        <v>61</v>
      </c>
      <c r="BB52" s="1265"/>
      <c r="BC52" s="6758" t="s">
        <v>624</v>
      </c>
      <c r="BE52" s="426"/>
      <c r="BF52" s="426" t="str">
        <f t="shared" si="3"/>
        <v/>
      </c>
      <c r="BG52" s="426"/>
      <c r="BH52" s="426"/>
    </row>
    <row r="53" spans="1:60" ht="11.25" customHeight="1">
      <c r="A53" s="1279"/>
      <c r="B53" s="1279"/>
      <c r="C53" s="1279"/>
      <c r="D53" s="1279"/>
      <c r="E53" s="6764"/>
      <c r="F53" s="6764"/>
      <c r="G53" s="6764"/>
      <c r="H53" s="6764"/>
      <c r="I53" s="6784"/>
      <c r="J53" s="6784"/>
      <c r="K53" s="6761"/>
      <c r="L53" s="1280"/>
      <c r="P53" s="6762"/>
      <c r="Q53" s="6762"/>
      <c r="R53" s="282"/>
      <c r="S53" s="6814"/>
      <c r="T53" s="6834"/>
      <c r="U53" s="219"/>
      <c r="V53" s="1309"/>
      <c r="W53" s="1405"/>
      <c r="X53" s="1309"/>
      <c r="Y53" s="1405"/>
      <c r="Z53" s="1309"/>
      <c r="AA53" s="1309"/>
      <c r="AB53" s="1309"/>
      <c r="AC53" s="1309"/>
      <c r="AD53" s="6689"/>
      <c r="AE53" s="6799"/>
      <c r="AF53" s="6718"/>
      <c r="AG53" s="6836"/>
      <c r="AH53" s="6610"/>
      <c r="AI53" s="6799"/>
      <c r="AJ53" s="6718"/>
      <c r="AK53" s="6820"/>
      <c r="AL53" s="6610"/>
      <c r="AM53" s="6713"/>
      <c r="AN53" s="6718"/>
      <c r="AO53" s="6830"/>
      <c r="AP53" s="6832"/>
      <c r="AQ53" s="239"/>
      <c r="AR53" s="350"/>
      <c r="AS53" s="350" t="s">
        <v>625</v>
      </c>
      <c r="AT53" s="1309"/>
      <c r="AU53" s="1405"/>
      <c r="AV53" s="1309"/>
      <c r="AW53" s="1405"/>
      <c r="AX53" s="1309"/>
      <c r="AY53" s="1309"/>
      <c r="AZ53" s="1309"/>
      <c r="BA53" s="1309"/>
      <c r="BB53" s="1313"/>
      <c r="BC53" s="6759"/>
      <c r="BE53" s="426"/>
      <c r="BF53" s="426"/>
      <c r="BG53" s="426"/>
      <c r="BH53" s="426"/>
    </row>
    <row r="54" spans="1:60" ht="11.25" customHeight="1">
      <c r="A54" s="1279" t="s">
        <v>364</v>
      </c>
      <c r="B54" s="1279"/>
      <c r="C54" s="1279"/>
      <c r="D54" s="1279"/>
      <c r="E54" s="6764"/>
      <c r="F54" s="6764"/>
      <c r="G54" s="6764"/>
      <c r="H54" s="6764"/>
      <c r="I54" s="6784"/>
      <c r="J54" s="6784"/>
      <c r="K54" s="6761"/>
      <c r="L54" s="1280"/>
      <c r="P54" s="6762"/>
      <c r="Q54" s="6762"/>
      <c r="R54" s="282"/>
      <c r="S54" s="6814"/>
      <c r="T54" s="6834"/>
      <c r="U54" s="219"/>
      <c r="V54" s="1309"/>
      <c r="W54" s="1405"/>
      <c r="X54" s="1309"/>
      <c r="Y54" s="1405"/>
      <c r="Z54" s="1309"/>
      <c r="AA54" s="1309"/>
      <c r="AB54" s="1309"/>
      <c r="AC54" s="1309"/>
      <c r="AD54" s="6689"/>
      <c r="AE54" s="6799"/>
      <c r="AF54" s="6718"/>
      <c r="AG54" s="6836"/>
      <c r="AH54" s="6610"/>
      <c r="AI54" s="6799"/>
      <c r="AJ54" s="6718"/>
      <c r="AK54" s="6820"/>
      <c r="AL54" s="6610"/>
      <c r="AM54" s="239"/>
      <c r="AN54" s="1409"/>
      <c r="AO54" s="1409" t="s">
        <v>626</v>
      </c>
      <c r="AP54" s="350"/>
      <c r="AQ54" s="350"/>
      <c r="AR54" s="350"/>
      <c r="AS54" s="1309"/>
      <c r="AT54" s="1309"/>
      <c r="AU54" s="1405"/>
      <c r="AV54" s="1309"/>
      <c r="AW54" s="1405"/>
      <c r="AX54" s="1309"/>
      <c r="AY54" s="1309"/>
      <c r="AZ54" s="1309"/>
      <c r="BA54" s="1309"/>
      <c r="BB54" s="1313"/>
      <c r="BC54" s="6759"/>
      <c r="BE54" s="426"/>
      <c r="BF54" s="426"/>
      <c r="BG54" s="426"/>
      <c r="BH54" s="426"/>
    </row>
    <row r="55" spans="1:60" ht="11.25" customHeight="1">
      <c r="A55" s="1279" t="s">
        <v>364</v>
      </c>
      <c r="B55" s="1279"/>
      <c r="C55" s="1279"/>
      <c r="D55" s="1279"/>
      <c r="E55" s="6764"/>
      <c r="F55" s="6764"/>
      <c r="G55" s="6764"/>
      <c r="H55" s="6764"/>
      <c r="I55" s="6784"/>
      <c r="J55" s="6784"/>
      <c r="K55" s="6761"/>
      <c r="L55" s="1280"/>
      <c r="P55" s="6762"/>
      <c r="Q55" s="6762"/>
      <c r="R55" s="282"/>
      <c r="S55" s="6814"/>
      <c r="T55" s="6834"/>
      <c r="U55" s="219"/>
      <c r="V55" s="1309"/>
      <c r="W55" s="1405"/>
      <c r="X55" s="1309"/>
      <c r="Y55" s="1405"/>
      <c r="Z55" s="1309"/>
      <c r="AA55" s="1309"/>
      <c r="AB55" s="1309"/>
      <c r="AC55" s="1309"/>
      <c r="AD55" s="6689"/>
      <c r="AE55" s="6799"/>
      <c r="AF55" s="6718"/>
      <c r="AG55" s="6836"/>
      <c r="AH55" s="6610"/>
      <c r="AI55" s="213"/>
      <c r="AJ55" s="349"/>
      <c r="AK55" s="234" t="s">
        <v>627</v>
      </c>
      <c r="AL55" s="1309"/>
      <c r="AM55" s="1309"/>
      <c r="AN55" s="1309"/>
      <c r="AO55" s="1309"/>
      <c r="AP55" s="1309"/>
      <c r="AQ55" s="1309"/>
      <c r="AR55" s="1309"/>
      <c r="AS55" s="1309"/>
      <c r="AT55" s="1309"/>
      <c r="AU55" s="1405"/>
      <c r="AV55" s="1309"/>
      <c r="AW55" s="1405"/>
      <c r="AX55" s="1309"/>
      <c r="AY55" s="1309"/>
      <c r="AZ55" s="1309"/>
      <c r="BA55" s="1309"/>
      <c r="BB55" s="1313"/>
      <c r="BC55" s="6759"/>
      <c r="BE55" s="426"/>
      <c r="BF55" s="426"/>
      <c r="BG55" s="426"/>
      <c r="BH55" s="426"/>
    </row>
    <row r="56" spans="1:60" ht="11.25" customHeight="1">
      <c r="A56" s="1279" t="s">
        <v>364</v>
      </c>
      <c r="B56" s="1279" t="s">
        <v>365</v>
      </c>
      <c r="C56" s="1279" t="s">
        <v>366</v>
      </c>
      <c r="D56" s="1279" t="s">
        <v>638</v>
      </c>
      <c r="E56" s="6764"/>
      <c r="F56" s="6764"/>
      <c r="G56" s="6764"/>
      <c r="H56" s="6764"/>
      <c r="I56" s="6784"/>
      <c r="J56" s="6784"/>
      <c r="K56" s="6761"/>
      <c r="L56" s="1280"/>
      <c r="P56" s="6762"/>
      <c r="Q56" s="6762"/>
      <c r="R56" s="282"/>
      <c r="S56" s="6815"/>
      <c r="T56" s="6835"/>
      <c r="U56" s="219"/>
      <c r="V56" s="1309"/>
      <c r="W56" s="1310" t="str">
        <f>Z52&amp;"-"&amp;AB52</f>
        <v>-</v>
      </c>
      <c r="X56" s="1309"/>
      <c r="Y56" s="1310" t="str">
        <f>AB52&amp;"-"&amp;AD52</f>
        <v>-да</v>
      </c>
      <c r="Z56" s="1309"/>
      <c r="AA56" s="1309"/>
      <c r="AB56" s="1309"/>
      <c r="AC56" s="1309"/>
      <c r="AD56" s="6615"/>
      <c r="AE56" s="233"/>
      <c r="AF56" s="235"/>
      <c r="AG56" s="350" t="s">
        <v>628</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6759"/>
      <c r="BE56" s="426"/>
      <c r="BF56" s="426" t="str">
        <f t="shared" ref="BF56:BF63" si="4">IF(T56="","",T56)</f>
        <v/>
      </c>
      <c r="BG56" s="426"/>
      <c r="BH56" s="426"/>
    </row>
    <row r="57" spans="1:60" ht="11.25" customHeight="1">
      <c r="A57" s="1279" t="s">
        <v>364</v>
      </c>
      <c r="B57" s="1279" t="s">
        <v>365</v>
      </c>
      <c r="C57" s="1279" t="s">
        <v>366</v>
      </c>
      <c r="D57" s="1279" t="s">
        <v>638</v>
      </c>
      <c r="E57" s="6764"/>
      <c r="F57" s="6764"/>
      <c r="G57" s="6764"/>
      <c r="H57" s="6764"/>
      <c r="I57" s="6784"/>
      <c r="J57" s="6761"/>
      <c r="K57" s="1279"/>
      <c r="L57" s="1280"/>
      <c r="P57" s="6762"/>
      <c r="Q57" s="6762"/>
      <c r="R57" s="281"/>
      <c r="S57" s="1198"/>
      <c r="T57" s="206" t="s">
        <v>586</v>
      </c>
      <c r="U57" s="295"/>
      <c r="V57" s="295"/>
      <c r="W57" s="295"/>
      <c r="X57" s="295"/>
      <c r="Y57" s="295"/>
      <c r="Z57" s="295"/>
      <c r="AA57" s="295"/>
      <c r="AB57" s="295"/>
      <c r="AC57" s="250"/>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6760"/>
      <c r="BE57" s="426"/>
      <c r="BF57" s="426" t="str">
        <f t="shared" si="4"/>
        <v>Добавить строку</v>
      </c>
      <c r="BG57" s="426"/>
      <c r="BH57" s="426"/>
    </row>
    <row r="58" spans="1:60" s="1817" customFormat="1" ht="0" hidden="1" customHeight="1">
      <c r="A58" s="1260" t="s">
        <v>364</v>
      </c>
      <c r="B58" s="1260" t="s">
        <v>365</v>
      </c>
      <c r="C58" s="1260" t="s">
        <v>366</v>
      </c>
      <c r="D58" s="1260" t="s">
        <v>638</v>
      </c>
      <c r="E58" s="6764"/>
      <c r="F58" s="6764"/>
      <c r="G58" s="6764"/>
      <c r="H58" s="6764"/>
      <c r="I58" s="6761"/>
      <c r="J58" s="1260"/>
      <c r="K58" s="1260"/>
      <c r="L58" s="1263"/>
      <c r="M58" s="436"/>
      <c r="N58" s="436"/>
      <c r="O58" s="436"/>
      <c r="P58" s="6762"/>
      <c r="Q58" s="1373"/>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364</v>
      </c>
      <c r="B59" s="1260" t="s">
        <v>365</v>
      </c>
      <c r="C59" s="1260" t="s">
        <v>366</v>
      </c>
      <c r="D59" s="1260" t="s">
        <v>638</v>
      </c>
      <c r="E59" s="6764"/>
      <c r="F59" s="6764"/>
      <c r="G59" s="6764"/>
      <c r="H59" s="676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067" customFormat="1" ht="0" hidden="1" customHeight="1">
      <c r="A60" s="1260" t="s">
        <v>364</v>
      </c>
      <c r="B60" s="1260" t="s">
        <v>365</v>
      </c>
      <c r="C60" s="1260" t="s">
        <v>366</v>
      </c>
      <c r="D60" s="1232"/>
      <c r="E60" s="6764"/>
      <c r="F60" s="6764"/>
      <c r="G60" s="6763"/>
      <c r="H60" s="1232"/>
      <c r="I60" s="1232"/>
      <c r="J60" s="1232"/>
      <c r="K60" s="1232"/>
      <c r="L60" s="1375"/>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067" customFormat="1" ht="0" hidden="1" customHeight="1">
      <c r="A61" s="1260" t="s">
        <v>364</v>
      </c>
      <c r="B61" s="1260" t="s">
        <v>365</v>
      </c>
      <c r="C61" s="1232"/>
      <c r="D61" s="1232"/>
      <c r="E61" s="6764"/>
      <c r="F61" s="6763"/>
      <c r="G61" s="1232"/>
      <c r="H61" s="1232"/>
      <c r="I61" s="1232"/>
      <c r="J61" s="1232"/>
      <c r="K61" s="1232"/>
      <c r="L61" s="1375"/>
      <c r="M61" s="1239"/>
      <c r="N61" s="1239"/>
      <c r="P61" s="1234"/>
      <c r="Q61" s="1235"/>
      <c r="R61" s="1234"/>
      <c r="S61" s="1240"/>
      <c r="T61" s="1243" t="s">
        <v>229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364</v>
      </c>
      <c r="B62" s="1260"/>
      <c r="C62" s="1260"/>
      <c r="D62" s="1260"/>
      <c r="E62" s="6763"/>
      <c r="F62" s="1260"/>
      <c r="G62" s="1260"/>
      <c r="H62" s="1260"/>
      <c r="I62" s="1260"/>
      <c r="J62" s="1260"/>
      <c r="K62" s="1260"/>
      <c r="L62" s="1263"/>
      <c r="M62" s="1239"/>
      <c r="N62" s="1239"/>
      <c r="O62" s="444"/>
      <c r="P62" s="313"/>
      <c r="Q62" s="1261"/>
      <c r="R62" s="313"/>
      <c r="S62" s="1240"/>
      <c r="T62" s="1243" t="s">
        <v>272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067" customFormat="1" ht="0" hidden="1" customHeight="1">
      <c r="A63" s="1232"/>
      <c r="B63" s="1232"/>
      <c r="C63" s="1232"/>
      <c r="D63" s="1232"/>
      <c r="E63" s="1260"/>
      <c r="F63" s="1232"/>
      <c r="G63" s="1232"/>
      <c r="H63" s="1232"/>
      <c r="I63" s="1232"/>
      <c r="J63" s="1232"/>
      <c r="K63" s="1232"/>
      <c r="L63" s="1375"/>
      <c r="M63" s="1239"/>
      <c r="N63" s="1239"/>
      <c r="P63" s="1234"/>
      <c r="Q63" s="1235"/>
      <c r="R63" s="1234"/>
      <c r="S63" s="1240"/>
      <c r="T63" s="1243" t="s">
        <v>273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6783"/>
      <c r="U65" s="6783"/>
      <c r="V65" s="6783"/>
      <c r="W65" s="6783"/>
      <c r="X65" s="6783"/>
      <c r="Y65" s="6783"/>
      <c r="Z65" s="6783"/>
      <c r="AA65" s="6783"/>
      <c r="AB65" s="6783"/>
      <c r="AC65" s="6783"/>
      <c r="AD65" s="6783"/>
      <c r="AE65" s="6783"/>
      <c r="AF65" s="6783"/>
      <c r="AG65" s="6783"/>
      <c r="AH65" s="6783"/>
      <c r="AI65" s="6783"/>
      <c r="AJ65" s="6783"/>
      <c r="AK65" s="6783"/>
      <c r="AL65" s="6783"/>
      <c r="AM65" s="6783"/>
      <c r="AN65" s="6783"/>
      <c r="AO65" s="6783"/>
      <c r="AP65" s="6783"/>
      <c r="AQ65" s="6783"/>
      <c r="AR65" s="6783"/>
      <c r="AS65" s="6783"/>
      <c r="AT65" s="6783"/>
      <c r="AU65" s="6783"/>
      <c r="AV65" s="6783"/>
      <c r="AW65" s="6783"/>
      <c r="AX65" s="6783"/>
      <c r="AY65" s="6783"/>
      <c r="AZ65" s="6783"/>
      <c r="BA65" s="6783"/>
      <c r="BB65" s="6783"/>
      <c r="BC65" s="6783"/>
    </row>
    <row r="66" spans="15:55" ht="14.25" customHeight="1">
      <c r="O66" s="462"/>
      <c r="T66" s="1361"/>
      <c r="U66" s="1361"/>
      <c r="V66" s="1361"/>
      <c r="W66" s="1361"/>
      <c r="X66" s="1361"/>
      <c r="Y66" s="1361"/>
      <c r="Z66" s="1361"/>
      <c r="AA66" s="1361"/>
      <c r="AB66" s="1361"/>
      <c r="AC66" s="1361"/>
      <c r="AD66" s="1361"/>
      <c r="AE66" s="1361"/>
      <c r="AF66" s="1361"/>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row>
    <row r="67" spans="15:55" ht="18.75" customHeight="1">
      <c r="O67" s="462"/>
      <c r="S67" s="1164"/>
      <c r="T67" s="6783"/>
      <c r="U67" s="6783"/>
      <c r="V67" s="6783"/>
      <c r="W67" s="6783"/>
      <c r="X67" s="6783"/>
      <c r="Y67" s="6783"/>
      <c r="Z67" s="6783"/>
      <c r="AA67" s="6783"/>
      <c r="AB67" s="6783"/>
      <c r="AC67" s="6783"/>
      <c r="AD67" s="6783"/>
      <c r="AE67" s="6783"/>
      <c r="AF67" s="6783"/>
      <c r="AG67" s="6783"/>
      <c r="AH67" s="6783"/>
      <c r="AI67" s="6783"/>
      <c r="AJ67" s="6783"/>
      <c r="AK67" s="6783"/>
      <c r="AL67" s="6783"/>
      <c r="AM67" s="6783"/>
      <c r="AN67" s="6783"/>
      <c r="AO67" s="6783"/>
      <c r="AP67" s="6783"/>
      <c r="AQ67" s="6783"/>
      <c r="AR67" s="6783"/>
      <c r="AS67" s="6783"/>
      <c r="AT67" s="6783"/>
      <c r="AU67" s="6783"/>
      <c r="AV67" s="6783"/>
      <c r="AW67" s="6783"/>
      <c r="AX67" s="6783"/>
      <c r="AY67" s="6783"/>
      <c r="AZ67" s="6783"/>
      <c r="BA67" s="6783"/>
      <c r="BB67" s="6783"/>
      <c r="BC67" s="6783"/>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9" hidden="1" customWidth="1"/>
    <col min="13" max="14" width="12.28515625" style="2069" hidden="1" customWidth="1"/>
    <col min="15" max="15" width="23.42578125" style="2069" hidden="1" customWidth="1"/>
    <col min="16" max="16" width="3.7109375" style="6500"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402"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96"/>
      <c r="Q3" s="277"/>
      <c r="R3" s="278"/>
      <c r="S3" s="1402"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402" t="e">
        <f>INDEX(PT_DIFFERENTIATION_NUM_CS,MATCH(C4,PT_DIFFERENTIATION_CS_ID,0))</f>
        <v>#N/A</v>
      </c>
      <c r="T4" s="230" t="s">
        <v>639</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640</v>
      </c>
      <c r="AM4" s="426"/>
      <c r="AN4" s="426" t="str">
        <f t="shared" si="0"/>
        <v>Наименование централизованной системы водоотведения</v>
      </c>
      <c r="AO4" s="426"/>
      <c r="AP4" s="426"/>
    </row>
    <row r="5" spans="1:42" ht="23.25" hidden="1" customHeight="1">
      <c r="A5" s="1279"/>
      <c r="B5" s="1279"/>
      <c r="C5" s="1279"/>
      <c r="D5" s="1279"/>
      <c r="E5" s="6764"/>
      <c r="F5" s="6764"/>
      <c r="G5" s="6764"/>
      <c r="H5" s="6764"/>
      <c r="I5" s="6761" t="e">
        <f>S4&amp;".1"</f>
        <v>#N/A</v>
      </c>
      <c r="J5" s="1279"/>
      <c r="K5" s="1279"/>
      <c r="L5" s="1280"/>
      <c r="P5" s="6762">
        <v>1</v>
      </c>
      <c r="Q5" s="1390"/>
      <c r="R5" s="281"/>
      <c r="S5" s="1402"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402"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402"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99"/>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90"/>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403"/>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87"/>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87"/>
      <c r="M19" s="1278"/>
      <c r="N19" s="1278"/>
      <c r="O19" s="1278"/>
      <c r="P19" s="1278"/>
      <c r="Q19" s="1287"/>
      <c r="R19" s="1287"/>
      <c r="S19" s="648"/>
      <c r="AB19" s="1282"/>
      <c r="AI19" s="1282"/>
      <c r="AL19" s="437"/>
      <c r="AM19" s="437"/>
      <c r="AN19" s="437"/>
      <c r="AO19" s="437"/>
      <c r="AP19" s="437"/>
    </row>
    <row r="20" spans="1:42" s="1830" customFormat="1" ht="12" hidden="1" customHeight="1">
      <c r="L20" s="1387"/>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97"/>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92" t="s">
        <v>614</v>
      </c>
      <c r="W38" s="6600" t="s">
        <v>552</v>
      </c>
      <c r="X38" s="6599"/>
      <c r="Y38" s="6600" t="s">
        <v>553</v>
      </c>
      <c r="Z38" s="6605"/>
      <c r="AA38" s="6599"/>
      <c r="AB38" s="6776"/>
      <c r="AC38" s="1392" t="s">
        <v>614</v>
      </c>
      <c r="AD38" s="6600" t="s">
        <v>552</v>
      </c>
      <c r="AE38" s="6599"/>
      <c r="AF38" s="6600" t="s">
        <v>553</v>
      </c>
      <c r="AG38" s="6605"/>
      <c r="AH38" s="6599"/>
      <c r="AI38" s="6776"/>
      <c r="AJ38" s="6779"/>
      <c r="AK38" s="6629"/>
    </row>
    <row r="39" spans="1:42" ht="86.2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92" t="s">
        <v>641</v>
      </c>
      <c r="W39" s="1128" t="s">
        <v>642</v>
      </c>
      <c r="X39" s="1128" t="s">
        <v>619</v>
      </c>
      <c r="Y39" s="1398" t="s">
        <v>563</v>
      </c>
      <c r="Z39" s="6731" t="s">
        <v>564</v>
      </c>
      <c r="AA39" s="6733"/>
      <c r="AB39" s="6777"/>
      <c r="AC39" s="1392" t="s">
        <v>641</v>
      </c>
      <c r="AD39" s="1128" t="s">
        <v>642</v>
      </c>
      <c r="AE39" s="1128" t="s">
        <v>619</v>
      </c>
      <c r="AF39" s="1398" t="s">
        <v>563</v>
      </c>
      <c r="AG39" s="6731" t="s">
        <v>564</v>
      </c>
      <c r="AH39" s="6733"/>
      <c r="AI39" s="6777"/>
      <c r="AJ39" s="6780"/>
      <c r="AK39" s="6629"/>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91">
        <f ca="1">OFFSET(V40,0,-1)+1</f>
        <v>3</v>
      </c>
      <c r="W40" s="1391">
        <f ca="1">OFFSET(W40,0,-1)+1</f>
        <v>4</v>
      </c>
      <c r="X40" s="1391">
        <f ca="1">OFFSET(X40,0,-1)+1</f>
        <v>5</v>
      </c>
      <c r="Y40" s="1391">
        <f ca="1">OFFSET(Y40,0,-1)+1</f>
        <v>6</v>
      </c>
      <c r="Z40" s="6770">
        <f ca="1">OFFSET(Z40,0,-1)+1</f>
        <v>7</v>
      </c>
      <c r="AA40" s="6770"/>
      <c r="AB40" s="1391">
        <f ca="1">OFFSET(AB40,0,-2)+1</f>
        <v>8</v>
      </c>
      <c r="AC40" s="1391">
        <f ca="1">OFFSET(AC40,0,-1)+1</f>
        <v>9</v>
      </c>
      <c r="AD40" s="1391">
        <f ca="1">OFFSET(AD40,0,-1)+1</f>
        <v>10</v>
      </c>
      <c r="AE40" s="1391">
        <f ca="1">OFFSET(AE40,0,-1)+1</f>
        <v>11</v>
      </c>
      <c r="AF40" s="1391">
        <f ca="1">OFFSET(AF40,0,-1)+1</f>
        <v>12</v>
      </c>
      <c r="AG40" s="6770">
        <f ca="1">OFFSET(AG40,0,-1)+1</f>
        <v>13</v>
      </c>
      <c r="AH40" s="6770"/>
      <c r="AI40" s="1391">
        <f ca="1">OFFSET(AI40,0,-2)+1</f>
        <v>14</v>
      </c>
      <c r="AJ40" s="1154">
        <f ca="1">OFFSET(AJ40,0,-1)</f>
        <v>14</v>
      </c>
      <c r="AK40" s="1391">
        <f ca="1">OFFSET(AK40,0,-1)+1</f>
        <v>15</v>
      </c>
      <c r="AL40" s="437"/>
      <c r="AM40" s="437"/>
      <c r="AN40" s="437"/>
      <c r="AO40" s="437"/>
      <c r="AP40" s="437"/>
    </row>
    <row r="41" spans="1:42" ht="23.25" customHeight="1">
      <c r="A41" s="1279" t="s">
        <v>384</v>
      </c>
      <c r="B41" s="1279"/>
      <c r="C41" s="1279"/>
      <c r="D41" s="1279"/>
      <c r="E41" s="6763">
        <v>1</v>
      </c>
      <c r="F41" s="1279"/>
      <c r="G41" s="1279"/>
      <c r="H41" s="1279"/>
      <c r="I41" s="1279"/>
      <c r="J41" s="1279"/>
      <c r="K41" s="1279"/>
      <c r="L41" s="1280"/>
      <c r="M41" s="1281"/>
      <c r="N41" s="1281"/>
      <c r="O41" s="1281"/>
      <c r="P41" s="286"/>
      <c r="Q41" s="285"/>
      <c r="R41" s="280"/>
      <c r="S41" s="1402">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384</v>
      </c>
      <c r="B42" s="1279" t="s">
        <v>385</v>
      </c>
      <c r="C42" s="1279"/>
      <c r="D42" s="1279"/>
      <c r="E42" s="6764"/>
      <c r="F42" s="6763">
        <v>1</v>
      </c>
      <c r="G42" s="1279"/>
      <c r="H42" s="1279"/>
      <c r="I42" s="1279"/>
      <c r="J42" s="1279"/>
      <c r="K42" s="1279"/>
      <c r="L42" s="1280"/>
      <c r="M42" s="1281"/>
      <c r="N42" s="1281"/>
      <c r="O42" s="1281"/>
      <c r="P42" s="1396"/>
      <c r="Q42" s="277"/>
      <c r="R42" s="278"/>
      <c r="S42" s="1402"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384</v>
      </c>
      <c r="B43" s="1279" t="s">
        <v>385</v>
      </c>
      <c r="C43" s="1279" t="s">
        <v>386</v>
      </c>
      <c r="D43" s="1279"/>
      <c r="E43" s="6764"/>
      <c r="F43" s="6764"/>
      <c r="G43" s="6763">
        <v>1</v>
      </c>
      <c r="H43" s="1279"/>
      <c r="I43" s="1279"/>
      <c r="J43" s="1279"/>
      <c r="K43" s="1279"/>
      <c r="L43" s="1280"/>
      <c r="M43" s="1281"/>
      <c r="N43" s="1281"/>
      <c r="O43" s="1281"/>
      <c r="P43" s="279"/>
      <c r="Q43" s="277"/>
      <c r="R43" s="278"/>
      <c r="S43" s="1402" t="str">
        <f>INDEX(PT_DIFFERENTIATION_NUM_CS,MATCH(C43,PT_DIFFERENTIATION_CS_ID,0))</f>
        <v>..</v>
      </c>
      <c r="T43" s="230" t="s">
        <v>639</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640</v>
      </c>
      <c r="AM43" s="426"/>
      <c r="AN43" s="426" t="str">
        <f t="shared" si="1"/>
        <v>Наименование централизованной системы водоотведения</v>
      </c>
      <c r="AO43" s="426"/>
      <c r="AP43" s="426"/>
    </row>
    <row r="44" spans="1:42" ht="23.25" customHeight="1">
      <c r="A44" s="1279" t="s">
        <v>384</v>
      </c>
      <c r="B44" s="1279" t="s">
        <v>385</v>
      </c>
      <c r="C44" s="1279" t="s">
        <v>386</v>
      </c>
      <c r="D44" s="1279" t="s">
        <v>643</v>
      </c>
      <c r="E44" s="6764"/>
      <c r="F44" s="6764"/>
      <c r="G44" s="6764"/>
      <c r="H44" s="6764"/>
      <c r="I44" s="6761" t="str">
        <f>S43&amp;".1"</f>
        <v>...1</v>
      </c>
      <c r="J44" s="1279"/>
      <c r="K44" s="1279"/>
      <c r="L44" s="1280"/>
      <c r="P44" s="6762">
        <v>1</v>
      </c>
      <c r="Q44" s="1390"/>
      <c r="R44" s="281"/>
      <c r="S44" s="1402"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384</v>
      </c>
      <c r="B45" s="1279" t="s">
        <v>385</v>
      </c>
      <c r="C45" s="1279" t="s">
        <v>386</v>
      </c>
      <c r="D45" s="1279" t="s">
        <v>643</v>
      </c>
      <c r="E45" s="6764"/>
      <c r="F45" s="6764"/>
      <c r="G45" s="6764"/>
      <c r="H45" s="6764"/>
      <c r="I45" s="6784"/>
      <c r="J45" s="6761" t="str">
        <f>I44&amp;".1"</f>
        <v>...1.1</v>
      </c>
      <c r="K45" s="1279"/>
      <c r="L45" s="1280" t="s">
        <v>526</v>
      </c>
      <c r="P45" s="6762"/>
      <c r="Q45" s="6762">
        <v>1</v>
      </c>
      <c r="R45" s="282"/>
      <c r="S45" s="1402"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384</v>
      </c>
      <c r="B46" s="1279" t="s">
        <v>385</v>
      </c>
      <c r="C46" s="1279" t="s">
        <v>386</v>
      </c>
      <c r="D46" s="1279" t="s">
        <v>643</v>
      </c>
      <c r="E46" s="6764"/>
      <c r="F46" s="6764"/>
      <c r="G46" s="6764"/>
      <c r="H46" s="6764"/>
      <c r="I46" s="6784"/>
      <c r="J46" s="6784"/>
      <c r="K46" s="6761" t="str">
        <f>J45&amp;".1"</f>
        <v>...1.1.1</v>
      </c>
      <c r="L46" s="1280"/>
      <c r="P46" s="6762"/>
      <c r="Q46" s="6762"/>
      <c r="R46" s="282">
        <v>1</v>
      </c>
      <c r="S46" s="1402" t="str">
        <f>$K46</f>
        <v>...1.1.1</v>
      </c>
      <c r="T46" s="1351"/>
      <c r="U46" s="219"/>
      <c r="V46" s="1276"/>
      <c r="W46" s="1276"/>
      <c r="X46" s="1277"/>
      <c r="Y46" s="6768"/>
      <c r="Z46" s="6769" t="s">
        <v>61</v>
      </c>
      <c r="AA46" s="6768"/>
      <c r="AB46" s="6769" t="s">
        <v>61</v>
      </c>
      <c r="AC46" s="668"/>
      <c r="AD46" s="668"/>
      <c r="AE46" s="1176"/>
      <c r="AF46" s="6766"/>
      <c r="AG46" s="6610" t="s">
        <v>61</v>
      </c>
      <c r="AH46" s="6785"/>
      <c r="AI46" s="6610" t="s">
        <v>56</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384</v>
      </c>
      <c r="B47" s="1279" t="s">
        <v>385</v>
      </c>
      <c r="C47" s="1279" t="s">
        <v>386</v>
      </c>
      <c r="D47" s="1279" t="s">
        <v>643</v>
      </c>
      <c r="E47" s="6764"/>
      <c r="F47" s="6764"/>
      <c r="G47" s="6764"/>
      <c r="H47" s="6764"/>
      <c r="I47" s="6784"/>
      <c r="J47" s="6784"/>
      <c r="K47" s="6761"/>
      <c r="L47" s="1280"/>
      <c r="P47" s="6762"/>
      <c r="Q47" s="6762"/>
      <c r="R47" s="282"/>
      <c r="S47" s="1399"/>
      <c r="T47" s="219"/>
      <c r="U47" s="219"/>
      <c r="V47" s="1276"/>
      <c r="W47" s="1276"/>
      <c r="X47" s="255" t="str">
        <f>Y46&amp;"-"&amp;AA46</f>
        <v>-</v>
      </c>
      <c r="Y47" s="6769"/>
      <c r="Z47" s="6769"/>
      <c r="AA47" s="6769"/>
      <c r="AB47" s="6769"/>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384</v>
      </c>
      <c r="B48" s="1279" t="s">
        <v>385</v>
      </c>
      <c r="C48" s="1279" t="s">
        <v>386</v>
      </c>
      <c r="D48" s="1279" t="s">
        <v>643</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384</v>
      </c>
      <c r="B49" s="1279" t="s">
        <v>385</v>
      </c>
      <c r="C49" s="1279" t="s">
        <v>386</v>
      </c>
      <c r="D49" s="1279" t="s">
        <v>643</v>
      </c>
      <c r="E49" s="6764"/>
      <c r="F49" s="6764"/>
      <c r="G49" s="6764"/>
      <c r="H49" s="6764"/>
      <c r="I49" s="6761"/>
      <c r="J49" s="1279"/>
      <c r="K49" s="1279"/>
      <c r="L49" s="1280"/>
      <c r="P49" s="6762"/>
      <c r="Q49" s="1390"/>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384</v>
      </c>
      <c r="B50" s="1279" t="s">
        <v>385</v>
      </c>
      <c r="C50" s="1279" t="s">
        <v>386</v>
      </c>
      <c r="D50" s="1279" t="s">
        <v>643</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384</v>
      </c>
      <c r="B51" s="1260" t="s">
        <v>385</v>
      </c>
      <c r="C51" s="1232"/>
      <c r="D51" s="1232"/>
      <c r="E51" s="6764"/>
      <c r="F51" s="6763"/>
      <c r="G51" s="1232"/>
      <c r="H51" s="1232"/>
      <c r="I51" s="1232"/>
      <c r="J51" s="1232"/>
      <c r="K51" s="1232"/>
      <c r="L51" s="1403"/>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384</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403"/>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9" hidden="1" customWidth="1"/>
    <col min="13" max="14" width="12.28515625" style="2069" hidden="1" customWidth="1"/>
    <col min="15" max="15" width="23.42578125" style="2069" hidden="1" customWidth="1"/>
    <col min="16" max="16" width="3.7109375" style="6500"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402"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96"/>
      <c r="Q3" s="277"/>
      <c r="R3" s="278"/>
      <c r="S3" s="1402"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402" t="e">
        <f>INDEX(PT_DIFFERENTIATION_NUM_CS,MATCH(C4,PT_DIFFERENTIATION_CS_ID,0))</f>
        <v>#N/A</v>
      </c>
      <c r="T4" s="230" t="s">
        <v>639</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640</v>
      </c>
      <c r="AM4" s="426"/>
      <c r="AN4" s="426" t="str">
        <f t="shared" si="0"/>
        <v>Наименование централизованной системы водоотведения</v>
      </c>
      <c r="AO4" s="426"/>
      <c r="AP4" s="426"/>
    </row>
    <row r="5" spans="1:42" ht="23.25" hidden="1" customHeight="1">
      <c r="A5" s="1279"/>
      <c r="B5" s="1279"/>
      <c r="C5" s="1279"/>
      <c r="D5" s="1279"/>
      <c r="E5" s="6764"/>
      <c r="F5" s="6764"/>
      <c r="G5" s="6764"/>
      <c r="H5" s="6764"/>
      <c r="I5" s="6761" t="e">
        <f>S4&amp;".1"</f>
        <v>#N/A</v>
      </c>
      <c r="J5" s="1279"/>
      <c r="K5" s="1279"/>
      <c r="L5" s="1280"/>
      <c r="P5" s="6762">
        <v>1</v>
      </c>
      <c r="Q5" s="1390"/>
      <c r="R5" s="281"/>
      <c r="S5" s="1402"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402"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402"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99"/>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90"/>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403"/>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87"/>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87"/>
      <c r="M19" s="1278"/>
      <c r="N19" s="1278"/>
      <c r="O19" s="1278"/>
      <c r="P19" s="1278"/>
      <c r="Q19" s="1287"/>
      <c r="R19" s="1287"/>
      <c r="S19" s="648"/>
      <c r="AB19" s="1282"/>
      <c r="AI19" s="1282"/>
      <c r="AL19" s="437"/>
      <c r="AM19" s="437"/>
      <c r="AN19" s="437"/>
      <c r="AO19" s="437"/>
      <c r="AP19" s="437"/>
    </row>
    <row r="20" spans="1:42" s="1830" customFormat="1" ht="12" hidden="1" customHeight="1">
      <c r="L20" s="1387"/>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674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97"/>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92" t="s">
        <v>614</v>
      </c>
      <c r="W38" s="6600" t="s">
        <v>552</v>
      </c>
      <c r="X38" s="6599"/>
      <c r="Y38" s="6600" t="s">
        <v>553</v>
      </c>
      <c r="Z38" s="6605"/>
      <c r="AA38" s="6599"/>
      <c r="AB38" s="6776"/>
      <c r="AC38" s="1392" t="s">
        <v>614</v>
      </c>
      <c r="AD38" s="6600" t="s">
        <v>552</v>
      </c>
      <c r="AE38" s="6599"/>
      <c r="AF38" s="6600" t="s">
        <v>553</v>
      </c>
      <c r="AG38" s="6605"/>
      <c r="AH38" s="6599"/>
      <c r="AI38" s="6776"/>
      <c r="AJ38" s="6779"/>
      <c r="AK38" s="6629"/>
    </row>
    <row r="39" spans="1:42" ht="86.2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92" t="s">
        <v>641</v>
      </c>
      <c r="W39" s="1128" t="s">
        <v>642</v>
      </c>
      <c r="X39" s="1128" t="s">
        <v>619</v>
      </c>
      <c r="Y39" s="1398" t="s">
        <v>563</v>
      </c>
      <c r="Z39" s="6731" t="s">
        <v>564</v>
      </c>
      <c r="AA39" s="6733"/>
      <c r="AB39" s="6777"/>
      <c r="AC39" s="1392" t="s">
        <v>641</v>
      </c>
      <c r="AD39" s="1128" t="s">
        <v>642</v>
      </c>
      <c r="AE39" s="1128" t="s">
        <v>619</v>
      </c>
      <c r="AF39" s="1398" t="s">
        <v>563</v>
      </c>
      <c r="AG39" s="6731" t="s">
        <v>564</v>
      </c>
      <c r="AH39" s="6733"/>
      <c r="AI39" s="6777"/>
      <c r="AJ39" s="6780"/>
      <c r="AK39" s="6629"/>
    </row>
    <row r="40" spans="1:42" s="1816"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91">
        <f ca="1">OFFSET(V40,0,-1)+1</f>
        <v>3</v>
      </c>
      <c r="W40" s="1391">
        <f ca="1">OFFSET(W40,0,-1)+1</f>
        <v>4</v>
      </c>
      <c r="X40" s="1391">
        <f ca="1">OFFSET(X40,0,-1)+1</f>
        <v>5</v>
      </c>
      <c r="Y40" s="1391">
        <f ca="1">OFFSET(Y40,0,-1)+1</f>
        <v>6</v>
      </c>
      <c r="Z40" s="6770">
        <f ca="1">OFFSET(Z40,0,-1)+1</f>
        <v>7</v>
      </c>
      <c r="AA40" s="6770"/>
      <c r="AB40" s="1391">
        <f ca="1">OFFSET(AB40,0,-2)+1</f>
        <v>8</v>
      </c>
      <c r="AC40" s="1391">
        <f ca="1">OFFSET(AC40,0,-1)+1</f>
        <v>9</v>
      </c>
      <c r="AD40" s="1391">
        <f ca="1">OFFSET(AD40,0,-1)+1</f>
        <v>10</v>
      </c>
      <c r="AE40" s="1391">
        <f ca="1">OFFSET(AE40,0,-1)+1</f>
        <v>11</v>
      </c>
      <c r="AF40" s="1391">
        <f ca="1">OFFSET(AF40,0,-1)+1</f>
        <v>12</v>
      </c>
      <c r="AG40" s="6770">
        <f ca="1">OFFSET(AG40,0,-1)+1</f>
        <v>13</v>
      </c>
      <c r="AH40" s="6770"/>
      <c r="AI40" s="1391">
        <f ca="1">OFFSET(AI40,0,-2)+1</f>
        <v>14</v>
      </c>
      <c r="AJ40" s="1154">
        <f ca="1">OFFSET(AJ40,0,-1)</f>
        <v>14</v>
      </c>
      <c r="AK40" s="1391">
        <f ca="1">OFFSET(AK40,0,-1)+1</f>
        <v>15</v>
      </c>
      <c r="AL40" s="437"/>
      <c r="AM40" s="437"/>
      <c r="AN40" s="437"/>
      <c r="AO40" s="437"/>
      <c r="AP40" s="437"/>
    </row>
    <row r="41" spans="1:42" ht="23.25" customHeight="1">
      <c r="A41" s="1279" t="s">
        <v>389</v>
      </c>
      <c r="B41" s="1279"/>
      <c r="C41" s="1279"/>
      <c r="D41" s="1279"/>
      <c r="E41" s="6763">
        <v>1</v>
      </c>
      <c r="F41" s="1279"/>
      <c r="G41" s="1279"/>
      <c r="H41" s="1279"/>
      <c r="I41" s="1279"/>
      <c r="J41" s="1279"/>
      <c r="K41" s="1279"/>
      <c r="L41" s="1280"/>
      <c r="M41" s="1281"/>
      <c r="N41" s="1281"/>
      <c r="O41" s="1281"/>
      <c r="P41" s="286"/>
      <c r="Q41" s="285"/>
      <c r="R41" s="280"/>
      <c r="S41" s="1402">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389</v>
      </c>
      <c r="B42" s="1279" t="s">
        <v>390</v>
      </c>
      <c r="C42" s="1279"/>
      <c r="D42" s="1279"/>
      <c r="E42" s="6764"/>
      <c r="F42" s="6763">
        <v>1</v>
      </c>
      <c r="G42" s="1279"/>
      <c r="H42" s="1279"/>
      <c r="I42" s="1279"/>
      <c r="J42" s="1279"/>
      <c r="K42" s="1279"/>
      <c r="L42" s="1280"/>
      <c r="M42" s="1281"/>
      <c r="N42" s="1281"/>
      <c r="O42" s="1281"/>
      <c r="P42" s="1396"/>
      <c r="Q42" s="277"/>
      <c r="R42" s="278"/>
      <c r="S42" s="1402"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389</v>
      </c>
      <c r="B43" s="1279" t="s">
        <v>390</v>
      </c>
      <c r="C43" s="1279" t="s">
        <v>391</v>
      </c>
      <c r="D43" s="1279"/>
      <c r="E43" s="6764"/>
      <c r="F43" s="6764"/>
      <c r="G43" s="6763">
        <v>1</v>
      </c>
      <c r="H43" s="1279"/>
      <c r="I43" s="1279"/>
      <c r="J43" s="1279"/>
      <c r="K43" s="1279"/>
      <c r="L43" s="1280"/>
      <c r="M43" s="1281"/>
      <c r="N43" s="1281"/>
      <c r="O43" s="1281"/>
      <c r="P43" s="279"/>
      <c r="Q43" s="277"/>
      <c r="R43" s="278"/>
      <c r="S43" s="1402" t="str">
        <f>INDEX(PT_DIFFERENTIATION_NUM_CS,MATCH(C43,PT_DIFFERENTIATION_CS_ID,0))</f>
        <v>..</v>
      </c>
      <c r="T43" s="230" t="s">
        <v>639</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640</v>
      </c>
      <c r="AM43" s="426"/>
      <c r="AN43" s="426" t="str">
        <f t="shared" si="1"/>
        <v>Наименование централизованной системы водоотведения</v>
      </c>
      <c r="AO43" s="426"/>
      <c r="AP43" s="426"/>
    </row>
    <row r="44" spans="1:42" ht="23.25" customHeight="1">
      <c r="A44" s="1279" t="s">
        <v>389</v>
      </c>
      <c r="B44" s="1279" t="s">
        <v>390</v>
      </c>
      <c r="C44" s="1279" t="s">
        <v>391</v>
      </c>
      <c r="D44" s="1279" t="s">
        <v>644</v>
      </c>
      <c r="E44" s="6764"/>
      <c r="F44" s="6764"/>
      <c r="G44" s="6764"/>
      <c r="H44" s="6764"/>
      <c r="I44" s="6761" t="str">
        <f>S43&amp;".1"</f>
        <v>...1</v>
      </c>
      <c r="J44" s="1279"/>
      <c r="K44" s="1279"/>
      <c r="L44" s="1280"/>
      <c r="P44" s="6762">
        <v>1</v>
      </c>
      <c r="Q44" s="1390"/>
      <c r="R44" s="281"/>
      <c r="S44" s="1402"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389</v>
      </c>
      <c r="B45" s="1279" t="s">
        <v>390</v>
      </c>
      <c r="C45" s="1279" t="s">
        <v>391</v>
      </c>
      <c r="D45" s="1279" t="s">
        <v>644</v>
      </c>
      <c r="E45" s="6764"/>
      <c r="F45" s="6764"/>
      <c r="G45" s="6764"/>
      <c r="H45" s="6764"/>
      <c r="I45" s="6784"/>
      <c r="J45" s="6761" t="str">
        <f>I44&amp;".1"</f>
        <v>...1.1</v>
      </c>
      <c r="K45" s="1279"/>
      <c r="L45" s="1280" t="s">
        <v>526</v>
      </c>
      <c r="P45" s="6762"/>
      <c r="Q45" s="6762">
        <v>1</v>
      </c>
      <c r="R45" s="282"/>
      <c r="S45" s="1402"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389</v>
      </c>
      <c r="B46" s="1279" t="s">
        <v>390</v>
      </c>
      <c r="C46" s="1279" t="s">
        <v>391</v>
      </c>
      <c r="D46" s="1279" t="s">
        <v>644</v>
      </c>
      <c r="E46" s="6764"/>
      <c r="F46" s="6764"/>
      <c r="G46" s="6764"/>
      <c r="H46" s="6764"/>
      <c r="I46" s="6784"/>
      <c r="J46" s="6784"/>
      <c r="K46" s="6761" t="str">
        <f>J45&amp;".1"</f>
        <v>...1.1.1</v>
      </c>
      <c r="L46" s="1280"/>
      <c r="P46" s="6762"/>
      <c r="Q46" s="6762"/>
      <c r="R46" s="282">
        <v>1</v>
      </c>
      <c r="S46" s="1402" t="str">
        <f>$K46</f>
        <v>...1.1.1</v>
      </c>
      <c r="T46" s="1351"/>
      <c r="U46" s="219"/>
      <c r="V46" s="1276"/>
      <c r="W46" s="1276"/>
      <c r="X46" s="1277"/>
      <c r="Y46" s="6768"/>
      <c r="Z46" s="6769" t="s">
        <v>61</v>
      </c>
      <c r="AA46" s="6768"/>
      <c r="AB46" s="6769" t="s">
        <v>61</v>
      </c>
      <c r="AC46" s="668"/>
      <c r="AD46" s="668"/>
      <c r="AE46" s="1176"/>
      <c r="AF46" s="6766"/>
      <c r="AG46" s="6610" t="s">
        <v>61</v>
      </c>
      <c r="AH46" s="6785"/>
      <c r="AI46" s="6610" t="s">
        <v>56</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389</v>
      </c>
      <c r="B47" s="1279" t="s">
        <v>390</v>
      </c>
      <c r="C47" s="1279" t="s">
        <v>391</v>
      </c>
      <c r="D47" s="1279" t="s">
        <v>644</v>
      </c>
      <c r="E47" s="6764"/>
      <c r="F47" s="6764"/>
      <c r="G47" s="6764"/>
      <c r="H47" s="6764"/>
      <c r="I47" s="6784"/>
      <c r="J47" s="6784"/>
      <c r="K47" s="6761"/>
      <c r="L47" s="1280"/>
      <c r="P47" s="6762"/>
      <c r="Q47" s="6762"/>
      <c r="R47" s="282"/>
      <c r="S47" s="1399"/>
      <c r="T47" s="219"/>
      <c r="U47" s="219"/>
      <c r="V47" s="1276"/>
      <c r="W47" s="1276"/>
      <c r="X47" s="255" t="str">
        <f>Y46&amp;"-"&amp;AA46</f>
        <v>-</v>
      </c>
      <c r="Y47" s="6769"/>
      <c r="Z47" s="6769"/>
      <c r="AA47" s="6769"/>
      <c r="AB47" s="6769"/>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389</v>
      </c>
      <c r="B48" s="1279" t="s">
        <v>390</v>
      </c>
      <c r="C48" s="1279" t="s">
        <v>391</v>
      </c>
      <c r="D48" s="1279" t="s">
        <v>644</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389</v>
      </c>
      <c r="B49" s="1279" t="s">
        <v>390</v>
      </c>
      <c r="C49" s="1279" t="s">
        <v>391</v>
      </c>
      <c r="D49" s="1279" t="s">
        <v>644</v>
      </c>
      <c r="E49" s="6764"/>
      <c r="F49" s="6764"/>
      <c r="G49" s="6764"/>
      <c r="H49" s="6764"/>
      <c r="I49" s="6761"/>
      <c r="J49" s="1279"/>
      <c r="K49" s="1279"/>
      <c r="L49" s="1280"/>
      <c r="P49" s="6762"/>
      <c r="Q49" s="1390"/>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389</v>
      </c>
      <c r="B50" s="1279" t="s">
        <v>390</v>
      </c>
      <c r="C50" s="1279" t="s">
        <v>391</v>
      </c>
      <c r="D50" s="1279" t="s">
        <v>644</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389</v>
      </c>
      <c r="B51" s="1260" t="s">
        <v>390</v>
      </c>
      <c r="C51" s="1232"/>
      <c r="D51" s="1232"/>
      <c r="E51" s="6764"/>
      <c r="F51" s="6763"/>
      <c r="G51" s="1232"/>
      <c r="H51" s="1232"/>
      <c r="I51" s="1232"/>
      <c r="J51" s="1232"/>
      <c r="K51" s="1232"/>
      <c r="L51" s="1403"/>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389</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403"/>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0" hidden="1" customWidth="1"/>
    <col min="2" max="2" width="11" style="1830" hidden="1" customWidth="1"/>
    <col min="3" max="3" width="10.5703125" style="1830" hidden="1"/>
    <col min="4" max="4" width="12.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6499" hidden="1" customWidth="1"/>
    <col min="13" max="14" width="12.28515625" style="2069" hidden="1" customWidth="1"/>
    <col min="15" max="15" width="23.42578125" style="2069" hidden="1" customWidth="1"/>
    <col min="16" max="16" width="3.7109375" style="2069" hidden="1" customWidth="1"/>
    <col min="17" max="17" width="3.7109375" style="2070" hidden="1" customWidth="1"/>
    <col min="18" max="18" width="3.7109375" style="2075" customWidth="1"/>
    <col min="19" max="19" width="12.7109375" style="2076" customWidth="1"/>
    <col min="20" max="20" width="32" style="2042" customWidth="1"/>
    <col min="21" max="21" width="0.140625" style="2042" customWidth="1"/>
    <col min="22" max="25" width="21.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2" width="3.7109375" style="2042" customWidth="1"/>
    <col min="33" max="33" width="24.7109375" style="2042" customWidth="1"/>
    <col min="34" max="36" width="3.7109375" style="2042" customWidth="1"/>
    <col min="37" max="37" width="24.7109375" style="2042" customWidth="1"/>
    <col min="38" max="40" width="3.7109375" style="2042" customWidth="1"/>
    <col min="41" max="41" width="18.85546875" style="2042" customWidth="1"/>
    <col min="42" max="44" width="3.7109375" style="2042" customWidth="1"/>
    <col min="45" max="45" width="18.85546875" style="2042" customWidth="1"/>
    <col min="46" max="49" width="21.7109375" style="2042" customWidth="1"/>
    <col min="50" max="50" width="11.7109375" style="2042" customWidth="1"/>
    <col min="51" max="51" width="3.7109375" style="2042" customWidth="1"/>
    <col min="52" max="52" width="11.7109375" style="2042" customWidth="1"/>
    <col min="53" max="53" width="8.5703125" style="2042" hidden="1" customWidth="1"/>
    <col min="54" max="54" width="4.7109375" style="2042" customWidth="1"/>
    <col min="55" max="55" width="115.7109375" style="2042"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6763">
        <v>1</v>
      </c>
      <c r="F2" s="1279"/>
      <c r="G2" s="1279"/>
      <c r="H2" s="1279"/>
      <c r="I2" s="1279"/>
      <c r="J2" s="1279"/>
      <c r="K2" s="1279"/>
      <c r="L2" s="1280"/>
      <c r="M2" s="1281"/>
      <c r="N2" s="1281"/>
      <c r="O2" s="1281"/>
      <c r="P2" s="1324"/>
      <c r="Q2" s="786"/>
      <c r="R2" s="280"/>
      <c r="S2" s="1402" t="e">
        <f>INDEX(PT_DIFFERENTIATION_NUM_NTAR,MATCH(A2,PT_DIFFERENTIATION_NTAR_ID,0))</f>
        <v>#N/A</v>
      </c>
      <c r="T2" s="217" t="s">
        <v>189</v>
      </c>
      <c r="U2" s="219"/>
      <c r="V2" s="6750"/>
      <c r="W2" s="6750"/>
      <c r="X2" s="6750"/>
      <c r="Y2" s="6750"/>
      <c r="Z2" s="6750"/>
      <c r="AA2" s="6750"/>
      <c r="AB2" s="6750"/>
      <c r="AC2" s="6751"/>
      <c r="AD2" s="6749" t="e">
        <f>INDEX(PT_DIFFERENTIATION_NTAR,MATCH(A2,PT_DIFFERENTIATION_NTAR_ID,0))</f>
        <v>#N/A</v>
      </c>
      <c r="AE2" s="6750"/>
      <c r="AF2" s="6750"/>
      <c r="AG2" s="6750"/>
      <c r="AH2" s="6750"/>
      <c r="AI2" s="6750"/>
      <c r="AJ2" s="6750"/>
      <c r="AK2" s="6750"/>
      <c r="AL2" s="6750"/>
      <c r="AM2" s="6750"/>
      <c r="AN2" s="6750"/>
      <c r="AO2" s="6750"/>
      <c r="AP2" s="6750"/>
      <c r="AQ2" s="6750"/>
      <c r="AR2" s="6750"/>
      <c r="AS2" s="6750"/>
      <c r="AT2" s="6750"/>
      <c r="AU2" s="6750"/>
      <c r="AV2" s="6750"/>
      <c r="AW2" s="6750"/>
      <c r="AX2" s="6750"/>
      <c r="AY2" s="6750"/>
      <c r="AZ2" s="6750"/>
      <c r="BA2" s="6750"/>
      <c r="BB2" s="67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6764"/>
      <c r="F3" s="6763">
        <v>1</v>
      </c>
      <c r="G3" s="1279"/>
      <c r="H3" s="1279"/>
      <c r="I3" s="1279"/>
      <c r="J3" s="1279"/>
      <c r="K3" s="1279"/>
      <c r="L3" s="1280"/>
      <c r="M3" s="1281"/>
      <c r="N3" s="1281"/>
      <c r="O3" s="1281"/>
      <c r="P3" s="1325"/>
      <c r="Q3" s="1326"/>
      <c r="R3" s="278"/>
      <c r="S3" s="1402" t="e">
        <f>INDEX(PT_DIFFERENTIATION_NUM_TER,MATCH(B3,PT_DIFFERENTIATION_TER_ID,0))</f>
        <v>#N/A</v>
      </c>
      <c r="T3" s="229" t="s">
        <v>517</v>
      </c>
      <c r="U3" s="219"/>
      <c r="V3" s="6750"/>
      <c r="W3" s="6750"/>
      <c r="X3" s="6750"/>
      <c r="Y3" s="6750"/>
      <c r="Z3" s="6750"/>
      <c r="AA3" s="6750"/>
      <c r="AB3" s="6750"/>
      <c r="AC3" s="6751"/>
      <c r="AD3" s="6749" t="e">
        <f>INDEX(PT_DIFFERENTIATION_TER,MATCH(B3,PT_DIFFERENTIATION_TER_ID,0))</f>
        <v>#N/A</v>
      </c>
      <c r="AE3" s="6750"/>
      <c r="AF3" s="6750"/>
      <c r="AG3" s="6750"/>
      <c r="AH3" s="6750"/>
      <c r="AI3" s="6750"/>
      <c r="AJ3" s="6750"/>
      <c r="AK3" s="6750"/>
      <c r="AL3" s="6750"/>
      <c r="AM3" s="6750"/>
      <c r="AN3" s="6750"/>
      <c r="AO3" s="6750"/>
      <c r="AP3" s="6750"/>
      <c r="AQ3" s="6750"/>
      <c r="AR3" s="6750"/>
      <c r="AS3" s="6750"/>
      <c r="AT3" s="6750"/>
      <c r="AU3" s="6750"/>
      <c r="AV3" s="6750"/>
      <c r="AW3" s="6750"/>
      <c r="AX3" s="6750"/>
      <c r="AY3" s="6750"/>
      <c r="AZ3" s="6750"/>
      <c r="BA3" s="6750"/>
      <c r="BB3" s="6751"/>
      <c r="BC3" s="1177" t="s">
        <v>518</v>
      </c>
      <c r="BE3" s="426"/>
      <c r="BF3" s="426" t="str">
        <f t="shared" si="0"/>
        <v>Территория действия тарифа</v>
      </c>
      <c r="BG3" s="426"/>
      <c r="BH3" s="426"/>
    </row>
    <row r="4" spans="1:60" ht="33.75" hidden="1" customHeight="1">
      <c r="A4" s="1279"/>
      <c r="B4" s="1279"/>
      <c r="C4" s="1279"/>
      <c r="D4" s="1279"/>
      <c r="E4" s="6764"/>
      <c r="F4" s="6764"/>
      <c r="G4" s="6763">
        <v>1</v>
      </c>
      <c r="H4" s="1279"/>
      <c r="I4" s="1279"/>
      <c r="J4" s="1279"/>
      <c r="K4" s="1279"/>
      <c r="L4" s="1280"/>
      <c r="M4" s="1281"/>
      <c r="N4" s="1281"/>
      <c r="O4" s="1281"/>
      <c r="P4" s="1327"/>
      <c r="Q4" s="1326"/>
      <c r="R4" s="278"/>
      <c r="S4" s="1402" t="e">
        <f>INDEX(PT_DIFFERENTIATION_NUM_CS,MATCH(C4,PT_DIFFERENTIATION_CS_ID,0))</f>
        <v>#N/A</v>
      </c>
      <c r="T4" s="230" t="s">
        <v>639</v>
      </c>
      <c r="U4" s="219"/>
      <c r="V4" s="6750"/>
      <c r="W4" s="6750"/>
      <c r="X4" s="6750"/>
      <c r="Y4" s="6750"/>
      <c r="Z4" s="6750"/>
      <c r="AA4" s="6750"/>
      <c r="AB4" s="6750"/>
      <c r="AC4" s="6751"/>
      <c r="AD4" s="6749" t="e">
        <f>INDEX(PT_DIFFERENTIATION_CS,MATCH(C4,PT_DIFFERENTIATION_CS_ID,0))</f>
        <v>#N/A</v>
      </c>
      <c r="AE4" s="6750"/>
      <c r="AF4" s="6750"/>
      <c r="AG4" s="6750"/>
      <c r="AH4" s="6750"/>
      <c r="AI4" s="6750"/>
      <c r="AJ4" s="6750"/>
      <c r="AK4" s="6750"/>
      <c r="AL4" s="6750"/>
      <c r="AM4" s="6750"/>
      <c r="AN4" s="6750"/>
      <c r="AO4" s="6750"/>
      <c r="AP4" s="6750"/>
      <c r="AQ4" s="6750"/>
      <c r="AR4" s="6750"/>
      <c r="AS4" s="6750"/>
      <c r="AT4" s="6750"/>
      <c r="AU4" s="6750"/>
      <c r="AV4" s="6750"/>
      <c r="AW4" s="6750"/>
      <c r="AX4" s="6750"/>
      <c r="AY4" s="6750"/>
      <c r="AZ4" s="6750"/>
      <c r="BA4" s="6750"/>
      <c r="BB4" s="6751"/>
      <c r="BC4" s="1177" t="s">
        <v>640</v>
      </c>
      <c r="BE4" s="426"/>
      <c r="BF4" s="426" t="str">
        <f t="shared" si="0"/>
        <v>Наименование централизованной системы водоотведения</v>
      </c>
      <c r="BG4" s="426"/>
      <c r="BH4" s="426"/>
    </row>
    <row r="5" spans="1:60" s="1817" customFormat="1" ht="14.25" hidden="1" customHeight="1">
      <c r="A5" s="1260"/>
      <c r="B5" s="1260"/>
      <c r="C5" s="1260"/>
      <c r="D5" s="1260"/>
      <c r="E5" s="6764"/>
      <c r="F5" s="6764"/>
      <c r="G5" s="6764"/>
      <c r="H5" s="6763">
        <v>1</v>
      </c>
      <c r="I5" s="1260"/>
      <c r="J5" s="1260"/>
      <c r="K5" s="1260"/>
      <c r="L5" s="1263"/>
      <c r="M5" s="1233"/>
      <c r="N5" s="1233"/>
      <c r="O5" s="1233"/>
      <c r="P5" s="1406"/>
      <c r="Q5" s="1407"/>
      <c r="R5" s="282"/>
      <c r="S5" s="949"/>
      <c r="T5" s="1408"/>
      <c r="U5" s="1300"/>
      <c r="V5" s="6791"/>
      <c r="W5" s="6791"/>
      <c r="X5" s="6791"/>
      <c r="Y5" s="6791"/>
      <c r="Z5" s="6791"/>
      <c r="AA5" s="6791"/>
      <c r="AB5" s="6791"/>
      <c r="AC5" s="6792"/>
      <c r="AD5" s="6790"/>
      <c r="AE5" s="6791"/>
      <c r="AF5" s="6791"/>
      <c r="AG5" s="6791"/>
      <c r="AH5" s="6791"/>
      <c r="AI5" s="6791"/>
      <c r="AJ5" s="6791"/>
      <c r="AK5" s="6791"/>
      <c r="AL5" s="6791"/>
      <c r="AM5" s="6791"/>
      <c r="AN5" s="6791"/>
      <c r="AO5" s="6791"/>
      <c r="AP5" s="6791"/>
      <c r="AQ5" s="6791"/>
      <c r="AR5" s="6791"/>
      <c r="AS5" s="6791"/>
      <c r="AT5" s="6791"/>
      <c r="AU5" s="6791"/>
      <c r="AV5" s="6791"/>
      <c r="AW5" s="6791"/>
      <c r="AX5" s="6791"/>
      <c r="AY5" s="6791"/>
      <c r="AZ5" s="6791"/>
      <c r="BA5" s="6791"/>
      <c r="BB5" s="6792"/>
      <c r="BC5" s="1301" t="s">
        <v>522</v>
      </c>
      <c r="BE5" s="426"/>
      <c r="BF5" s="426" t="str">
        <f t="shared" si="0"/>
        <v/>
      </c>
      <c r="BG5" s="426"/>
      <c r="BH5" s="426"/>
    </row>
    <row r="6" spans="1:60" s="1817" customFormat="1" ht="14.25" hidden="1" customHeight="1">
      <c r="A6" s="1260"/>
      <c r="B6" s="1260"/>
      <c r="C6" s="1260"/>
      <c r="D6" s="1260"/>
      <c r="E6" s="6764"/>
      <c r="F6" s="6764"/>
      <c r="G6" s="6764"/>
      <c r="H6" s="6764"/>
      <c r="I6" s="6761" t="str">
        <f>S5&amp;".1"</f>
        <v>.1</v>
      </c>
      <c r="J6" s="1260"/>
      <c r="K6" s="1260"/>
      <c r="L6" s="1263" t="s">
        <v>523</v>
      </c>
      <c r="M6" s="436"/>
      <c r="N6" s="436"/>
      <c r="O6" s="436"/>
      <c r="P6" s="6762">
        <v>1</v>
      </c>
      <c r="Q6" s="1390"/>
      <c r="R6" s="281"/>
      <c r="S6" s="949"/>
      <c r="T6" s="1299"/>
      <c r="U6" s="1300"/>
      <c r="V6" s="6791"/>
      <c r="W6" s="6791"/>
      <c r="X6" s="6791"/>
      <c r="Y6" s="6791"/>
      <c r="Z6" s="6791"/>
      <c r="AA6" s="6791"/>
      <c r="AB6" s="6791"/>
      <c r="AC6" s="6792"/>
      <c r="AD6" s="6790"/>
      <c r="AE6" s="6791"/>
      <c r="AF6" s="6791"/>
      <c r="AG6" s="6791"/>
      <c r="AH6" s="6791"/>
      <c r="AI6" s="6791"/>
      <c r="AJ6" s="6791"/>
      <c r="AK6" s="6791"/>
      <c r="AL6" s="6791"/>
      <c r="AM6" s="6791"/>
      <c r="AN6" s="6791"/>
      <c r="AO6" s="6791"/>
      <c r="AP6" s="6791"/>
      <c r="AQ6" s="6791"/>
      <c r="AR6" s="6791"/>
      <c r="AS6" s="6791"/>
      <c r="AT6" s="6791"/>
      <c r="AU6" s="6791"/>
      <c r="AV6" s="6791"/>
      <c r="AW6" s="6791"/>
      <c r="AX6" s="6791"/>
      <c r="AY6" s="6791"/>
      <c r="AZ6" s="6791"/>
      <c r="BA6" s="6791"/>
      <c r="BB6" s="6792"/>
      <c r="BC6" s="1301"/>
      <c r="BE6" s="426"/>
      <c r="BF6" s="426" t="str">
        <f t="shared" si="0"/>
        <v/>
      </c>
      <c r="BG6" s="426"/>
      <c r="BH6" s="426"/>
    </row>
    <row r="7" spans="1:60" s="1817" customFormat="1" ht="14.25" hidden="1" customHeight="1">
      <c r="A7" s="1260"/>
      <c r="B7" s="1260"/>
      <c r="C7" s="1260"/>
      <c r="D7" s="1260"/>
      <c r="E7" s="6764"/>
      <c r="F7" s="6764"/>
      <c r="G7" s="6764"/>
      <c r="H7" s="6764"/>
      <c r="I7" s="6784"/>
      <c r="J7" s="6761" t="str">
        <f>S5&amp;".1"</f>
        <v>.1</v>
      </c>
      <c r="K7" s="1260"/>
      <c r="L7" s="1263"/>
      <c r="M7" s="436"/>
      <c r="N7" s="436"/>
      <c r="O7" s="436"/>
      <c r="P7" s="6762"/>
      <c r="Q7" s="6762">
        <v>1</v>
      </c>
      <c r="R7" s="282"/>
      <c r="S7" s="949"/>
      <c r="T7" s="1315"/>
      <c r="U7" s="1300"/>
      <c r="V7" s="6791"/>
      <c r="W7" s="6791"/>
      <c r="X7" s="6791"/>
      <c r="Y7" s="6791"/>
      <c r="Z7" s="6791"/>
      <c r="AA7" s="6791"/>
      <c r="AB7" s="6791"/>
      <c r="AC7" s="6792"/>
      <c r="AD7" s="6790"/>
      <c r="AE7" s="6791"/>
      <c r="AF7" s="6791"/>
      <c r="AG7" s="6791"/>
      <c r="AH7" s="6791"/>
      <c r="AI7" s="6791"/>
      <c r="AJ7" s="6791"/>
      <c r="AK7" s="6791"/>
      <c r="AL7" s="6791"/>
      <c r="AM7" s="6791"/>
      <c r="AN7" s="6791"/>
      <c r="AO7" s="6791"/>
      <c r="AP7" s="6791"/>
      <c r="AQ7" s="6791"/>
      <c r="AR7" s="6791"/>
      <c r="AS7" s="6791"/>
      <c r="AT7" s="6791"/>
      <c r="AU7" s="6791"/>
      <c r="AV7" s="6791"/>
      <c r="AW7" s="6791"/>
      <c r="AX7" s="6791"/>
      <c r="AY7" s="6791"/>
      <c r="AZ7" s="6791"/>
      <c r="BA7" s="6791"/>
      <c r="BB7" s="6792"/>
      <c r="BC7" s="1301"/>
      <c r="BE7" s="426"/>
      <c r="BF7" s="426" t="str">
        <f t="shared" si="0"/>
        <v/>
      </c>
      <c r="BG7" s="426"/>
      <c r="BH7" s="426"/>
    </row>
    <row r="8" spans="1:60" ht="11.25" hidden="1" customHeight="1">
      <c r="A8" s="1279"/>
      <c r="B8" s="1279"/>
      <c r="C8" s="1279"/>
      <c r="D8" s="1279"/>
      <c r="E8" s="6764"/>
      <c r="F8" s="6764"/>
      <c r="G8" s="6764"/>
      <c r="H8" s="6764"/>
      <c r="I8" s="6784"/>
      <c r="J8" s="6784"/>
      <c r="K8" s="6761" t="e">
        <f>S4&amp;".1"</f>
        <v>#N/A</v>
      </c>
      <c r="L8" s="1280"/>
      <c r="P8" s="6762"/>
      <c r="Q8" s="6762"/>
      <c r="R8" s="6819">
        <v>1</v>
      </c>
      <c r="S8" s="6813" t="e">
        <f>$K8</f>
        <v>#N/A</v>
      </c>
      <c r="T8" s="6833"/>
      <c r="U8" s="219"/>
      <c r="V8" s="668"/>
      <c r="W8" s="1176"/>
      <c r="X8" s="668"/>
      <c r="Y8" s="1176"/>
      <c r="Z8" s="1643"/>
      <c r="AA8" s="1379" t="s">
        <v>61</v>
      </c>
      <c r="AB8" s="1643"/>
      <c r="AC8" s="1379" t="s">
        <v>61</v>
      </c>
      <c r="AD8" s="6688" t="s">
        <v>61</v>
      </c>
      <c r="AE8" s="6799"/>
      <c r="AF8" s="6718">
        <v>1</v>
      </c>
      <c r="AG8" s="6836"/>
      <c r="AH8" s="6610" t="s">
        <v>61</v>
      </c>
      <c r="AI8" s="6799"/>
      <c r="AJ8" s="6718">
        <v>1</v>
      </c>
      <c r="AK8" s="6820" t="s">
        <v>24</v>
      </c>
      <c r="AL8" s="6610" t="s">
        <v>61</v>
      </c>
      <c r="AM8" s="6708"/>
      <c r="AN8" s="6718">
        <v>1</v>
      </c>
      <c r="AO8" s="6830"/>
      <c r="AP8" s="6831" t="s">
        <v>61</v>
      </c>
      <c r="AQ8" s="232"/>
      <c r="AR8" s="1395">
        <v>1</v>
      </c>
      <c r="AS8" s="1401" t="s">
        <v>24</v>
      </c>
      <c r="AT8" s="668"/>
      <c r="AU8" s="1176"/>
      <c r="AV8" s="668"/>
      <c r="AW8" s="1176"/>
      <c r="AX8" s="1643"/>
      <c r="AY8" s="1379" t="s">
        <v>61</v>
      </c>
      <c r="AZ8" s="1643"/>
      <c r="BA8" s="1379" t="s">
        <v>61</v>
      </c>
      <c r="BB8" s="1265"/>
      <c r="BC8" s="6758" t="s">
        <v>624</v>
      </c>
      <c r="BE8" s="426"/>
      <c r="BF8" s="426" t="str">
        <f t="shared" si="0"/>
        <v/>
      </c>
      <c r="BG8" s="426"/>
      <c r="BH8" s="426"/>
    </row>
    <row r="9" spans="1:60" ht="11.25" hidden="1" customHeight="1">
      <c r="A9" s="1279"/>
      <c r="B9" s="1279"/>
      <c r="C9" s="1279"/>
      <c r="D9" s="1279"/>
      <c r="E9" s="6764"/>
      <c r="F9" s="6764"/>
      <c r="G9" s="6764"/>
      <c r="H9" s="6764"/>
      <c r="I9" s="6784"/>
      <c r="J9" s="6784"/>
      <c r="K9" s="6761"/>
      <c r="L9" s="1280"/>
      <c r="P9" s="6762"/>
      <c r="Q9" s="6762"/>
      <c r="R9" s="6819"/>
      <c r="S9" s="6814"/>
      <c r="T9" s="6834"/>
      <c r="U9" s="219"/>
      <c r="V9" s="1309"/>
      <c r="W9" s="1405"/>
      <c r="X9" s="1309"/>
      <c r="Y9" s="1405"/>
      <c r="Z9" s="1309"/>
      <c r="AA9" s="1309"/>
      <c r="AB9" s="1309"/>
      <c r="AC9" s="1309"/>
      <c r="AD9" s="6689"/>
      <c r="AE9" s="6799"/>
      <c r="AF9" s="6718"/>
      <c r="AG9" s="6836"/>
      <c r="AH9" s="6610"/>
      <c r="AI9" s="6799"/>
      <c r="AJ9" s="6718"/>
      <c r="AK9" s="6820"/>
      <c r="AL9" s="6610"/>
      <c r="AM9" s="6713"/>
      <c r="AN9" s="6718"/>
      <c r="AO9" s="6830"/>
      <c r="AP9" s="6832"/>
      <c r="AQ9" s="239"/>
      <c r="AR9" s="350"/>
      <c r="AS9" s="350" t="s">
        <v>625</v>
      </c>
      <c r="AT9" s="1309"/>
      <c r="AU9" s="1405"/>
      <c r="AV9" s="1309"/>
      <c r="AW9" s="1405"/>
      <c r="AX9" s="1309"/>
      <c r="AY9" s="1309"/>
      <c r="AZ9" s="1309"/>
      <c r="BA9" s="1309"/>
      <c r="BB9" s="1313"/>
      <c r="BC9" s="6759"/>
      <c r="BE9" s="426"/>
      <c r="BF9" s="426"/>
      <c r="BG9" s="426"/>
      <c r="BH9" s="426"/>
    </row>
    <row r="10" spans="1:60" ht="11.25" hidden="1" customHeight="1">
      <c r="A10" s="1279"/>
      <c r="B10" s="1279"/>
      <c r="C10" s="1279"/>
      <c r="D10" s="1279"/>
      <c r="E10" s="6764"/>
      <c r="F10" s="6764"/>
      <c r="G10" s="6764"/>
      <c r="H10" s="6764"/>
      <c r="I10" s="6784"/>
      <c r="J10" s="6784"/>
      <c r="K10" s="6761"/>
      <c r="L10" s="1280"/>
      <c r="P10" s="6762"/>
      <c r="Q10" s="6762"/>
      <c r="R10" s="6819"/>
      <c r="S10" s="6814"/>
      <c r="T10" s="6834"/>
      <c r="U10" s="219"/>
      <c r="V10" s="1309"/>
      <c r="W10" s="1405"/>
      <c r="X10" s="1309"/>
      <c r="Y10" s="1405"/>
      <c r="Z10" s="1309"/>
      <c r="AA10" s="1309"/>
      <c r="AB10" s="1309"/>
      <c r="AC10" s="1309"/>
      <c r="AD10" s="6689"/>
      <c r="AE10" s="6799"/>
      <c r="AF10" s="6718"/>
      <c r="AG10" s="6836"/>
      <c r="AH10" s="6610"/>
      <c r="AI10" s="6799"/>
      <c r="AJ10" s="6718"/>
      <c r="AK10" s="6820"/>
      <c r="AL10" s="6610"/>
      <c r="AM10" s="239"/>
      <c r="AN10" s="1409"/>
      <c r="AO10" s="1409" t="s">
        <v>645</v>
      </c>
      <c r="AP10" s="350"/>
      <c r="AQ10" s="350"/>
      <c r="AR10" s="350"/>
      <c r="AS10" s="1309"/>
      <c r="AT10" s="1309"/>
      <c r="AU10" s="1405"/>
      <c r="AV10" s="1309"/>
      <c r="AW10" s="1405"/>
      <c r="AX10" s="1309"/>
      <c r="AY10" s="1309"/>
      <c r="AZ10" s="1309"/>
      <c r="BA10" s="1309"/>
      <c r="BB10" s="1313"/>
      <c r="BC10" s="6759"/>
      <c r="BE10" s="426"/>
      <c r="BF10" s="426"/>
      <c r="BG10" s="426"/>
      <c r="BH10" s="426"/>
    </row>
    <row r="11" spans="1:60" ht="11.25" hidden="1" customHeight="1">
      <c r="A11" s="1279"/>
      <c r="B11" s="1279"/>
      <c r="C11" s="1279"/>
      <c r="D11" s="1279"/>
      <c r="E11" s="6764"/>
      <c r="F11" s="6764"/>
      <c r="G11" s="6764"/>
      <c r="H11" s="6764"/>
      <c r="I11" s="6784"/>
      <c r="J11" s="6784"/>
      <c r="K11" s="6761"/>
      <c r="L11" s="1280"/>
      <c r="P11" s="6762"/>
      <c r="Q11" s="6762"/>
      <c r="R11" s="6819"/>
      <c r="S11" s="6814"/>
      <c r="T11" s="6834"/>
      <c r="U11" s="219"/>
      <c r="V11" s="1309"/>
      <c r="W11" s="1405"/>
      <c r="X11" s="1309"/>
      <c r="Y11" s="1405"/>
      <c r="Z11" s="1309"/>
      <c r="AA11" s="1309"/>
      <c r="AB11" s="1309"/>
      <c r="AC11" s="1309"/>
      <c r="AD11" s="6689"/>
      <c r="AE11" s="6799"/>
      <c r="AF11" s="6718"/>
      <c r="AG11" s="6836"/>
      <c r="AH11" s="6610"/>
      <c r="AI11" s="213"/>
      <c r="AJ11" s="349"/>
      <c r="AK11" s="234" t="s">
        <v>646</v>
      </c>
      <c r="AL11" s="1309"/>
      <c r="AM11" s="1309"/>
      <c r="AN11" s="1309"/>
      <c r="AO11" s="1309"/>
      <c r="AP11" s="1309"/>
      <c r="AQ11" s="1309"/>
      <c r="AR11" s="1309"/>
      <c r="AS11" s="1309"/>
      <c r="AT11" s="1309"/>
      <c r="AU11" s="1405"/>
      <c r="AV11" s="1309"/>
      <c r="AW11" s="1405"/>
      <c r="AX11" s="1309"/>
      <c r="AY11" s="1309"/>
      <c r="AZ11" s="1309"/>
      <c r="BA11" s="1309"/>
      <c r="BB11" s="1313"/>
      <c r="BC11" s="6759"/>
      <c r="BE11" s="426"/>
      <c r="BF11" s="426"/>
      <c r="BG11" s="426"/>
      <c r="BH11" s="426"/>
    </row>
    <row r="12" spans="1:60" ht="11.25" hidden="1" customHeight="1">
      <c r="A12" s="1279"/>
      <c r="B12" s="1279"/>
      <c r="C12" s="1279"/>
      <c r="D12" s="1279"/>
      <c r="E12" s="6764"/>
      <c r="F12" s="6764"/>
      <c r="G12" s="6764"/>
      <c r="H12" s="6764"/>
      <c r="I12" s="6784"/>
      <c r="J12" s="6784"/>
      <c r="K12" s="6761"/>
      <c r="L12" s="1280"/>
      <c r="P12" s="6762"/>
      <c r="Q12" s="6762"/>
      <c r="R12" s="6819"/>
      <c r="S12" s="6815"/>
      <c r="T12" s="6835"/>
      <c r="U12" s="219"/>
      <c r="V12" s="1309"/>
      <c r="W12" s="1310" t="str">
        <f>Z8&amp;"-"&amp;AB8</f>
        <v>-</v>
      </c>
      <c r="X12" s="1309"/>
      <c r="Y12" s="1310" t="str">
        <f>AB8&amp;"-"&amp;AD8</f>
        <v>-да</v>
      </c>
      <c r="Z12" s="1309"/>
      <c r="AA12" s="1309"/>
      <c r="AB12" s="1309"/>
      <c r="AC12" s="1309"/>
      <c r="AD12" s="6615"/>
      <c r="AE12" s="233"/>
      <c r="AF12" s="235"/>
      <c r="AG12" s="350" t="s">
        <v>628</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6759"/>
      <c r="BE12" s="426"/>
      <c r="BF12" s="426" t="str">
        <f t="shared" ref="BF12:BF18" si="1">IF(T12="","",T12)</f>
        <v/>
      </c>
      <c r="BG12" s="426"/>
      <c r="BH12" s="426"/>
    </row>
    <row r="13" spans="1:60" ht="11.25" hidden="1" customHeight="1">
      <c r="A13" s="1279"/>
      <c r="B13" s="1279"/>
      <c r="C13" s="1279"/>
      <c r="D13" s="1279"/>
      <c r="E13" s="6764"/>
      <c r="F13" s="6764"/>
      <c r="G13" s="6764"/>
      <c r="H13" s="6764"/>
      <c r="I13" s="6784"/>
      <c r="J13" s="6761"/>
      <c r="K13" s="1279"/>
      <c r="L13" s="1280"/>
      <c r="P13" s="6762"/>
      <c r="Q13" s="6762"/>
      <c r="R13" s="281"/>
      <c r="S13" s="1198"/>
      <c r="T13" s="206" t="s">
        <v>586</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6760"/>
      <c r="BE13" s="426"/>
      <c r="BF13" s="426" t="str">
        <f t="shared" si="1"/>
        <v>Добавить строку</v>
      </c>
      <c r="BG13" s="426"/>
      <c r="BH13" s="426"/>
    </row>
    <row r="14" spans="1:60" s="1817" customFormat="1" ht="14.25" hidden="1" customHeight="1">
      <c r="A14" s="1260"/>
      <c r="B14" s="1260"/>
      <c r="C14" s="1260"/>
      <c r="D14" s="1260"/>
      <c r="E14" s="6764"/>
      <c r="F14" s="6764"/>
      <c r="G14" s="6764"/>
      <c r="H14" s="6764"/>
      <c r="I14" s="6761"/>
      <c r="J14" s="1260"/>
      <c r="K14" s="1260"/>
      <c r="L14" s="1263"/>
      <c r="M14" s="436"/>
      <c r="N14" s="436"/>
      <c r="O14" s="436"/>
      <c r="P14" s="6762"/>
      <c r="Q14" s="1390"/>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6764"/>
      <c r="F15" s="6764"/>
      <c r="G15" s="6764"/>
      <c r="H15" s="676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067" customFormat="1" ht="14.25" hidden="1" customHeight="1">
      <c r="A16" s="1260"/>
      <c r="B16" s="1260"/>
      <c r="C16" s="1260"/>
      <c r="D16" s="1232"/>
      <c r="E16" s="6764"/>
      <c r="F16" s="6764"/>
      <c r="G16" s="6763"/>
      <c r="H16" s="1232"/>
      <c r="I16" s="1232"/>
      <c r="J16" s="1232"/>
      <c r="K16" s="1232"/>
      <c r="L16" s="1403"/>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067" customFormat="1" ht="14.25" hidden="1" customHeight="1">
      <c r="A17" s="1260"/>
      <c r="B17" s="1260"/>
      <c r="C17" s="1232"/>
      <c r="D17" s="1232"/>
      <c r="E17" s="6764"/>
      <c r="F17" s="6763"/>
      <c r="G17" s="1232"/>
      <c r="H17" s="1232"/>
      <c r="I17" s="1232"/>
      <c r="J17" s="1232"/>
      <c r="K17" s="1232"/>
      <c r="L17" s="1403"/>
      <c r="M17" s="1239"/>
      <c r="N17" s="1239"/>
      <c r="P17" s="1234"/>
      <c r="Q17" s="1235"/>
      <c r="R17" s="1234"/>
      <c r="S17" s="1240"/>
      <c r="T17" s="1243" t="s">
        <v>229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6763"/>
      <c r="F18" s="1260"/>
      <c r="G18" s="1260"/>
      <c r="H18" s="1260"/>
      <c r="I18" s="1260"/>
      <c r="J18" s="1260"/>
      <c r="K18" s="1260"/>
      <c r="L18" s="1263"/>
      <c r="M18" s="1239"/>
      <c r="N18" s="1239"/>
      <c r="O18" s="444"/>
      <c r="P18" s="313"/>
      <c r="Q18" s="1261"/>
      <c r="R18" s="313"/>
      <c r="S18" s="1240"/>
      <c r="T18" s="1243" t="s">
        <v>272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0"/>
      <c r="AF20" s="473">
        <v>1</v>
      </c>
      <c r="AG20" s="1411"/>
      <c r="AH20" s="1242" t="s">
        <v>56</v>
      </c>
      <c r="AI20" s="1410"/>
      <c r="AJ20" s="473">
        <v>1</v>
      </c>
      <c r="AK20" s="1411"/>
      <c r="AL20" s="1242" t="s">
        <v>56</v>
      </c>
      <c r="AM20" s="1412"/>
      <c r="AN20" s="473">
        <v>1</v>
      </c>
      <c r="AO20" s="1413"/>
      <c r="AP20" s="1242" t="s">
        <v>56</v>
      </c>
      <c r="AQ20" s="1412"/>
      <c r="AR20" s="473">
        <v>1</v>
      </c>
      <c r="AS20" s="1413"/>
      <c r="AT20" s="251"/>
      <c r="AU20" s="318"/>
      <c r="AV20" s="251"/>
      <c r="AW20" s="318"/>
      <c r="AX20" s="1645"/>
      <c r="AY20" s="1394" t="s">
        <v>61</v>
      </c>
      <c r="AZ20" s="1645"/>
      <c r="BA20" s="1394" t="s">
        <v>61</v>
      </c>
    </row>
    <row r="21" spans="1:60" ht="14.25" hidden="1" customHeight="1">
      <c r="BD21" s="422"/>
      <c r="BE21" s="422"/>
      <c r="BF21" s="422"/>
      <c r="BG21" s="422"/>
      <c r="BH21" s="422"/>
    </row>
    <row r="22" spans="1:60" ht="14.25" hidden="1" customHeight="1">
      <c r="O22" s="1283" t="s">
        <v>534</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6441" customFormat="1" ht="14.25" hidden="1" customHeight="1">
      <c r="M24" s="1417"/>
      <c r="N24" s="1417"/>
      <c r="O24" s="1418" t="s">
        <v>535</v>
      </c>
      <c r="P24" s="1417"/>
      <c r="Q24" s="1419"/>
      <c r="R24" s="1419"/>
      <c r="AA24" s="1416" t="s">
        <v>537</v>
      </c>
      <c r="AC24" s="1416" t="s">
        <v>538</v>
      </c>
      <c r="AD24" s="1416" t="s">
        <v>587</v>
      </c>
      <c r="AH24" s="1416" t="s">
        <v>587</v>
      </c>
      <c r="AK24" s="1416" t="s">
        <v>629</v>
      </c>
      <c r="AL24" s="1416" t="s">
        <v>587</v>
      </c>
      <c r="AP24" s="1416" t="s">
        <v>587</v>
      </c>
      <c r="AY24" s="1416" t="s">
        <v>537</v>
      </c>
      <c r="BA24" s="1416" t="s">
        <v>538</v>
      </c>
      <c r="BD24" s="1420"/>
      <c r="BE24" s="1420"/>
      <c r="BF24" s="1420"/>
      <c r="BG24" s="1420"/>
      <c r="BH24" s="1420"/>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674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6747"/>
      <c r="U28" s="6747"/>
      <c r="V28" s="6747"/>
      <c r="W28" s="6747"/>
      <c r="X28" s="6747"/>
      <c r="Y28" s="6747"/>
      <c r="Z28" s="6747"/>
      <c r="AA28" s="6747"/>
      <c r="AB28" s="6747"/>
      <c r="AC28" s="6747"/>
      <c r="AD28" s="6747"/>
      <c r="AE28" s="6747"/>
      <c r="AF28" s="6747"/>
      <c r="AG28" s="6747"/>
      <c r="AH28" s="6747"/>
      <c r="AI28" s="6747"/>
      <c r="AJ28" s="6747"/>
      <c r="AK28" s="6747"/>
      <c r="AL28" s="6747"/>
      <c r="AM28" s="6747"/>
      <c r="AN28" s="6747"/>
      <c r="AO28" s="6747"/>
      <c r="AP28" s="6747"/>
      <c r="AQ28" s="6747"/>
      <c r="AR28" s="6747"/>
      <c r="AS28" s="6747"/>
      <c r="AT28" s="6747"/>
      <c r="AU28" s="6747"/>
      <c r="AV28" s="6747"/>
      <c r="AW28" s="6747"/>
      <c r="AX28" s="6747"/>
      <c r="AY28" s="6747"/>
      <c r="AZ28" s="6747"/>
      <c r="BA28" s="1152"/>
    </row>
    <row r="29" spans="1:60" ht="14.25" customHeight="1">
      <c r="Q29" s="210"/>
      <c r="R29" s="305"/>
      <c r="S29" s="6694" t="str">
        <f>IF(org=0,"Не определено",org)</f>
        <v>ООО "Марикоммунэнерго"</v>
      </c>
      <c r="T29" s="6694"/>
      <c r="U29" s="6694"/>
      <c r="V29" s="6694"/>
      <c r="W29" s="6694"/>
      <c r="X29" s="6694"/>
      <c r="Y29" s="6694"/>
      <c r="Z29" s="6694"/>
      <c r="AA29" s="6694"/>
      <c r="AB29" s="6694"/>
      <c r="AC29" s="6694"/>
      <c r="AD29" s="6694"/>
      <c r="AE29" s="6694"/>
      <c r="AF29" s="6694"/>
      <c r="AG29" s="6694"/>
      <c r="AH29" s="6694"/>
      <c r="AI29" s="6694"/>
      <c r="AJ29" s="6694"/>
      <c r="AK29" s="6694"/>
      <c r="AL29" s="6694"/>
      <c r="AM29" s="6694"/>
      <c r="AN29" s="6694"/>
      <c r="AO29" s="6694"/>
      <c r="AP29" s="6694"/>
      <c r="AQ29" s="6694"/>
      <c r="AR29" s="6694"/>
      <c r="AS29" s="6694"/>
      <c r="AT29" s="6694"/>
      <c r="AU29" s="6694"/>
      <c r="AV29" s="6694"/>
      <c r="AW29" s="6694"/>
      <c r="AX29" s="6694"/>
      <c r="AY29" s="6694"/>
      <c r="AZ29" s="6694"/>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072" customFormat="1" ht="25.5" customHeight="1">
      <c r="A31" s="1284"/>
      <c r="B31" s="1284"/>
      <c r="C31" s="1284"/>
      <c r="D31" s="1284"/>
      <c r="E31" s="1284"/>
      <c r="F31" s="1284"/>
      <c r="G31" s="1284"/>
      <c r="H31" s="1284"/>
      <c r="I31" s="1284"/>
      <c r="J31" s="1284"/>
      <c r="K31" s="1284"/>
      <c r="L31" s="1285"/>
      <c r="M31" s="1284"/>
      <c r="N31" s="1284"/>
      <c r="O31" s="1284"/>
      <c r="P31" s="1284"/>
      <c r="Q31" s="1284"/>
      <c r="S31" s="6755" t="s">
        <v>38</v>
      </c>
      <c r="T31" s="6755"/>
      <c r="U31" s="1288"/>
      <c r="V31" s="6756" t="str">
        <f>IF(TITLE_NAME_OR_PR_CHANGE="",IF(TITLE_NAME_OR_PR="","",TITLE_NAME_OR_PR),TITLE_NAME_OR_PR_CHANGE)</f>
        <v>Министерство промышленности, экономического развития и торговли Республики Марий Эл</v>
      </c>
      <c r="W31" s="6756"/>
      <c r="X31" s="6756"/>
      <c r="Y31" s="6756"/>
      <c r="Z31" s="6756"/>
      <c r="AA31" s="6756"/>
      <c r="AB31" s="6756"/>
      <c r="AC31" s="253"/>
      <c r="AD31" s="6756" t="str">
        <f>IF(TITLE_NAME_OR_PR_CHANGE="",IF(TITLE_NAME_OR_PR="","",TITLE_NAME_OR_PR),TITLE_NAME_OR_PR_CHANGE)</f>
        <v>Министерство промышленности, экономического развития и торговли Республики Марий Эл</v>
      </c>
      <c r="AE31" s="6756"/>
      <c r="AF31" s="6756"/>
      <c r="AG31" s="6756"/>
      <c r="AH31" s="6756"/>
      <c r="AI31" s="6756"/>
      <c r="AJ31" s="6756"/>
      <c r="AK31" s="6756"/>
      <c r="AL31" s="6756"/>
      <c r="AM31" s="6756"/>
      <c r="AN31" s="6756"/>
      <c r="AO31" s="6756"/>
      <c r="AP31" s="6756"/>
      <c r="AQ31" s="6756"/>
      <c r="AR31" s="6756"/>
      <c r="AS31" s="6756"/>
      <c r="AT31" s="6756"/>
      <c r="AU31" s="6756"/>
      <c r="AV31" s="6756"/>
      <c r="AW31" s="6756"/>
      <c r="AX31" s="6756"/>
      <c r="AY31" s="6756"/>
      <c r="AZ31" s="6756"/>
      <c r="BA31" s="253"/>
      <c r="BB31" s="253"/>
      <c r="BC31" s="200"/>
      <c r="BD31" s="296"/>
      <c r="BE31" s="296"/>
      <c r="BF31" s="296"/>
      <c r="BG31" s="296"/>
      <c r="BH31" s="296"/>
    </row>
    <row r="32" spans="1:60" s="2072" customFormat="1" ht="18.75" customHeight="1">
      <c r="A32" s="1284"/>
      <c r="B32" s="1284"/>
      <c r="C32" s="1284"/>
      <c r="D32" s="1284"/>
      <c r="E32" s="1284"/>
      <c r="F32" s="1284"/>
      <c r="G32" s="1284"/>
      <c r="H32" s="1284"/>
      <c r="I32" s="1284"/>
      <c r="J32" s="1284"/>
      <c r="K32" s="1284"/>
      <c r="L32" s="1285"/>
      <c r="M32" s="1284"/>
      <c r="N32" s="1284"/>
      <c r="O32" s="1284"/>
      <c r="P32" s="1284"/>
      <c r="Q32" s="1284"/>
      <c r="S32" s="6755" t="s">
        <v>540</v>
      </c>
      <c r="T32" s="6755"/>
      <c r="U32" s="1288"/>
      <c r="V32" s="6765">
        <f>IF(TITLE_DATE_PR_CHANGE="",IF(TITLE_DATE_PR="","",TITLE_DATE_PR),TITLE_DATE_PR_CHANGE)</f>
        <v>45280.426180555558</v>
      </c>
      <c r="W32" s="6765"/>
      <c r="X32" s="6765"/>
      <c r="Y32" s="6765"/>
      <c r="Z32" s="6765"/>
      <c r="AA32" s="6765"/>
      <c r="AB32" s="6765"/>
      <c r="AC32" s="253"/>
      <c r="AD32" s="6765">
        <f>IF(TITLE_DATE_PR_CHANGE="",IF(TITLE_DATE_PR="","",TITLE_DATE_PR),TITLE_DATE_PR_CHANGE)</f>
        <v>45280.426180555558</v>
      </c>
      <c r="AE32" s="6765"/>
      <c r="AF32" s="6765"/>
      <c r="AG32" s="6765"/>
      <c r="AH32" s="6765"/>
      <c r="AI32" s="6765"/>
      <c r="AJ32" s="6765"/>
      <c r="AK32" s="6765"/>
      <c r="AL32" s="6765"/>
      <c r="AM32" s="6765"/>
      <c r="AN32" s="6765"/>
      <c r="AO32" s="6765"/>
      <c r="AP32" s="6765"/>
      <c r="AQ32" s="6765"/>
      <c r="AR32" s="6765"/>
      <c r="AS32" s="6765"/>
      <c r="AT32" s="6765"/>
      <c r="AU32" s="6765"/>
      <c r="AV32" s="6765"/>
      <c r="AW32" s="6765"/>
      <c r="AX32" s="6765"/>
      <c r="AY32" s="6765"/>
      <c r="AZ32" s="6765"/>
      <c r="BA32" s="253"/>
      <c r="BB32" s="253"/>
      <c r="BC32" s="200"/>
      <c r="BD32" s="296"/>
      <c r="BE32" s="296"/>
      <c r="BF32" s="296"/>
      <c r="BG32" s="296"/>
      <c r="BH32" s="296"/>
    </row>
    <row r="33" spans="1:60" s="2072" customFormat="1" ht="18.75" customHeight="1">
      <c r="A33" s="1284"/>
      <c r="B33" s="1284"/>
      <c r="C33" s="1284"/>
      <c r="D33" s="1284"/>
      <c r="E33" s="1284"/>
      <c r="F33" s="1284"/>
      <c r="G33" s="1284"/>
      <c r="H33" s="1284"/>
      <c r="I33" s="1284"/>
      <c r="J33" s="1284"/>
      <c r="K33" s="1284"/>
      <c r="L33" s="1285"/>
      <c r="M33" s="1284"/>
      <c r="N33" s="1284"/>
      <c r="O33" s="1284"/>
      <c r="P33" s="1284"/>
      <c r="Q33" s="1284"/>
      <c r="S33" s="6755" t="s">
        <v>541</v>
      </c>
      <c r="T33" s="6755"/>
      <c r="U33" s="1288"/>
      <c r="V33" s="6756" t="str">
        <f>IF(TITLE_NUMBER_PR_CHANGE="",IF(TITLE_NUMBER_PR="","",TITLE_NUMBER_PR),TITLE_NUMBER_PR_CHANGE)</f>
        <v>124 т, 125 т, 126 т, 169 т</v>
      </c>
      <c r="W33" s="6756"/>
      <c r="X33" s="6756"/>
      <c r="Y33" s="6756"/>
      <c r="Z33" s="6756"/>
      <c r="AA33" s="6756"/>
      <c r="AB33" s="6756"/>
      <c r="AC33" s="253"/>
      <c r="AD33" s="6756" t="str">
        <f>IF(TITLE_NUMBER_PR_CHANGE="",IF(TITLE_NUMBER_PR="","",TITLE_NUMBER_PR),TITLE_NUMBER_PR_CHANGE)</f>
        <v>124 т, 125 т, 126 т, 169 т</v>
      </c>
      <c r="AE33" s="6756"/>
      <c r="AF33" s="6756"/>
      <c r="AG33" s="6756"/>
      <c r="AH33" s="6756"/>
      <c r="AI33" s="6756"/>
      <c r="AJ33" s="6756"/>
      <c r="AK33" s="6756"/>
      <c r="AL33" s="6756"/>
      <c r="AM33" s="6756"/>
      <c r="AN33" s="6756"/>
      <c r="AO33" s="6756"/>
      <c r="AP33" s="6756"/>
      <c r="AQ33" s="6756"/>
      <c r="AR33" s="6756"/>
      <c r="AS33" s="6756"/>
      <c r="AT33" s="6756"/>
      <c r="AU33" s="6756"/>
      <c r="AV33" s="6756"/>
      <c r="AW33" s="6756"/>
      <c r="AX33" s="6756"/>
      <c r="AY33" s="6756"/>
      <c r="AZ33" s="6756"/>
      <c r="BA33" s="253"/>
      <c r="BB33" s="253"/>
      <c r="BC33" s="200"/>
      <c r="BD33" s="296"/>
      <c r="BE33" s="296"/>
      <c r="BF33" s="296"/>
      <c r="BG33" s="296"/>
      <c r="BH33" s="296"/>
    </row>
    <row r="34" spans="1:60" s="2072" customFormat="1" ht="18.75" customHeight="1">
      <c r="A34" s="1284"/>
      <c r="B34" s="1284"/>
      <c r="C34" s="1284"/>
      <c r="D34" s="1284"/>
      <c r="E34" s="1284"/>
      <c r="F34" s="1284"/>
      <c r="G34" s="1284"/>
      <c r="H34" s="1284"/>
      <c r="I34" s="1284"/>
      <c r="J34" s="1284"/>
      <c r="K34" s="1284"/>
      <c r="L34" s="1285"/>
      <c r="M34" s="1284"/>
      <c r="N34" s="1284"/>
      <c r="O34" s="1284"/>
      <c r="P34" s="1284"/>
      <c r="Q34" s="1284"/>
      <c r="S34" s="6755" t="s">
        <v>40</v>
      </c>
      <c r="T34" s="6755"/>
      <c r="U34" s="1288"/>
      <c r="V34" s="6756" t="str">
        <f>IF(TITLE_IST_PUB_CHANGE="",IF(TITLE_IST_PUB="","",TITLE_IST_PUB),TITLE_IST_PUB_CHANGE)</f>
        <v>портал Официальное опубликование нормативных правовых актов  Республики Марий Эл</v>
      </c>
      <c r="W34" s="6756"/>
      <c r="X34" s="6756"/>
      <c r="Y34" s="6756"/>
      <c r="Z34" s="6756"/>
      <c r="AA34" s="6756"/>
      <c r="AB34" s="6756"/>
      <c r="AC34" s="253"/>
      <c r="AD34" s="6756" t="str">
        <f>IF(TITLE_IST_PUB_CHANGE="",IF(TITLE_IST_PUB="","",TITLE_IST_PUB),TITLE_IST_PUB_CHANGE)</f>
        <v>портал Официальное опубликование нормативных правовых актов  Республики Марий Эл</v>
      </c>
      <c r="AE34" s="6756"/>
      <c r="AF34" s="6756"/>
      <c r="AG34" s="6756"/>
      <c r="AH34" s="6756"/>
      <c r="AI34" s="6756"/>
      <c r="AJ34" s="6756"/>
      <c r="AK34" s="6756"/>
      <c r="AL34" s="6756"/>
      <c r="AM34" s="6756"/>
      <c r="AN34" s="6756"/>
      <c r="AO34" s="6756"/>
      <c r="AP34" s="6756"/>
      <c r="AQ34" s="6756"/>
      <c r="AR34" s="6756"/>
      <c r="AS34" s="6756"/>
      <c r="AT34" s="6756"/>
      <c r="AU34" s="6756"/>
      <c r="AV34" s="6756"/>
      <c r="AW34" s="6756"/>
      <c r="AX34" s="6756"/>
      <c r="AY34" s="6756"/>
      <c r="AZ34" s="675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072" customFormat="1" ht="18.75" hidden="1" customHeight="1">
      <c r="A36" s="1284"/>
      <c r="B36" s="1284"/>
      <c r="C36" s="1284"/>
      <c r="D36" s="1284"/>
      <c r="E36" s="1284"/>
      <c r="F36" s="1284"/>
      <c r="G36" s="1284"/>
      <c r="H36" s="1284"/>
      <c r="I36" s="1284"/>
      <c r="J36" s="1284"/>
      <c r="K36" s="1284"/>
      <c r="L36" s="1285"/>
      <c r="M36" s="1284"/>
      <c r="N36" s="1284"/>
      <c r="O36" s="1284"/>
      <c r="P36" s="1284"/>
      <c r="Q36" s="1284"/>
      <c r="S36" s="6755" t="s">
        <v>540</v>
      </c>
      <c r="T36" s="6755"/>
      <c r="U36" s="1288"/>
      <c r="V36" s="6765">
        <f>IF(TITLE_DATE_PR_CHANGE="",IF(TITLE_DATE_PR="","",TITLE_DATE_PR),TITLE_DATE_PR_CHANGE)</f>
        <v>45280.426180555558</v>
      </c>
      <c r="W36" s="6765"/>
      <c r="X36" s="6765"/>
      <c r="Y36" s="6765"/>
      <c r="Z36" s="6765"/>
      <c r="AA36" s="6765"/>
      <c r="AB36" s="6765"/>
      <c r="AC36" s="253"/>
      <c r="AD36" s="6765">
        <f>IF(TITLE_DATE_PR_CHANGE="",IF(TITLE_DATE_PR="","",TITLE_DATE_PR),TITLE_DATE_PR_CHANGE)</f>
        <v>45280.426180555558</v>
      </c>
      <c r="AE36" s="6765"/>
      <c r="AF36" s="6765"/>
      <c r="AG36" s="6765"/>
      <c r="AH36" s="6765"/>
      <c r="AI36" s="6765"/>
      <c r="AJ36" s="6765"/>
      <c r="AK36" s="6765"/>
      <c r="AL36" s="6765"/>
      <c r="AM36" s="6765"/>
      <c r="AN36" s="6765"/>
      <c r="AO36" s="6765"/>
      <c r="AP36" s="6765"/>
      <c r="AQ36" s="6765"/>
      <c r="AR36" s="6765"/>
      <c r="AS36" s="6765"/>
      <c r="AT36" s="6765"/>
      <c r="AU36" s="6765"/>
      <c r="AV36" s="6765"/>
      <c r="AW36" s="6765"/>
      <c r="AX36" s="6765"/>
      <c r="AY36" s="6765"/>
      <c r="AZ36" s="6765"/>
      <c r="BA36" s="253"/>
      <c r="BB36" s="253"/>
      <c r="BC36" s="200"/>
      <c r="BD36" s="296"/>
      <c r="BE36" s="296"/>
      <c r="BF36" s="296"/>
      <c r="BG36" s="296"/>
      <c r="BH36" s="296"/>
    </row>
    <row r="37" spans="1:60" s="2072" customFormat="1" ht="18.75" hidden="1" customHeight="1">
      <c r="A37" s="1284"/>
      <c r="B37" s="1284"/>
      <c r="C37" s="1284"/>
      <c r="D37" s="1284"/>
      <c r="E37" s="1284"/>
      <c r="F37" s="1284"/>
      <c r="G37" s="1284"/>
      <c r="H37" s="1284"/>
      <c r="I37" s="1284"/>
      <c r="J37" s="1284"/>
      <c r="K37" s="1284"/>
      <c r="L37" s="1285"/>
      <c r="M37" s="1284"/>
      <c r="N37" s="1284"/>
      <c r="O37" s="1284"/>
      <c r="P37" s="1284"/>
      <c r="Q37" s="1284"/>
      <c r="S37" s="6755" t="s">
        <v>541</v>
      </c>
      <c r="T37" s="6755"/>
      <c r="U37" s="1288"/>
      <c r="V37" s="6756" t="str">
        <f>IF(TITLE_NUMBER_PR_CHANGE="",IF(TITLE_NUMBER_PR="","",TITLE_NUMBER_PR),TITLE_NUMBER_PR_CHANGE)</f>
        <v>124 т, 125 т, 126 т, 169 т</v>
      </c>
      <c r="W37" s="6756"/>
      <c r="X37" s="6756"/>
      <c r="Y37" s="6756"/>
      <c r="Z37" s="6756"/>
      <c r="AA37" s="6756"/>
      <c r="AB37" s="6756"/>
      <c r="AC37" s="253"/>
      <c r="AD37" s="6756" t="str">
        <f>IF(TITLE_NUMBER_PR_CHANGE="",IF(TITLE_NUMBER_PR="","",TITLE_NUMBER_PR),TITLE_NUMBER_PR_CHANGE)</f>
        <v>124 т, 125 т, 126 т, 169 т</v>
      </c>
      <c r="AE37" s="6756"/>
      <c r="AF37" s="6756"/>
      <c r="AG37" s="6756"/>
      <c r="AH37" s="6756"/>
      <c r="AI37" s="6756"/>
      <c r="AJ37" s="6756"/>
      <c r="AK37" s="6756"/>
      <c r="AL37" s="6756"/>
      <c r="AM37" s="6756"/>
      <c r="AN37" s="6756"/>
      <c r="AO37" s="6756"/>
      <c r="AP37" s="6756"/>
      <c r="AQ37" s="6756"/>
      <c r="AR37" s="6756"/>
      <c r="AS37" s="6756"/>
      <c r="AT37" s="6756"/>
      <c r="AU37" s="6756"/>
      <c r="AV37" s="6756"/>
      <c r="AW37" s="6756"/>
      <c r="AX37" s="6756"/>
      <c r="AY37" s="6756"/>
      <c r="AZ37" s="6756"/>
      <c r="BA37" s="253"/>
      <c r="BB37" s="253"/>
      <c r="BC37" s="200"/>
      <c r="BD37" s="296"/>
      <c r="BE37" s="296"/>
      <c r="BF37" s="296"/>
      <c r="BG37" s="296"/>
      <c r="BH37" s="296"/>
    </row>
    <row r="38" spans="1:60" s="207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7"/>
      <c r="V38" s="253"/>
      <c r="W38" s="253"/>
      <c r="X38" s="253"/>
      <c r="Y38" s="253"/>
      <c r="Z38" s="253"/>
      <c r="AA38" s="253"/>
      <c r="AB38" s="253"/>
      <c r="AC38" s="198" t="s">
        <v>544</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544</v>
      </c>
      <c r="BD38" s="296"/>
      <c r="BE38" s="296"/>
      <c r="BF38" s="296"/>
      <c r="BG38" s="296"/>
      <c r="BH38" s="296"/>
    </row>
    <row r="39" spans="1:60" ht="14.25" customHeight="1">
      <c r="Q39" s="210"/>
      <c r="R39" s="305"/>
      <c r="S39" s="1195"/>
      <c r="T39" s="290"/>
      <c r="U39" s="1153"/>
      <c r="V39" s="6757"/>
      <c r="W39" s="6757"/>
      <c r="X39" s="6757"/>
      <c r="Y39" s="6757"/>
      <c r="Z39" s="6757"/>
      <c r="AA39" s="6757"/>
      <c r="AB39" s="6757"/>
      <c r="AC39" s="6757"/>
      <c r="AD39" s="6757"/>
      <c r="AE39" s="6757"/>
      <c r="AF39" s="6757"/>
      <c r="AG39" s="6757"/>
      <c r="AH39" s="6757"/>
      <c r="AI39" s="6757"/>
      <c r="AJ39" s="6757"/>
      <c r="AK39" s="6757"/>
      <c r="AL39" s="6757"/>
      <c r="AM39" s="6757"/>
      <c r="AN39" s="6757"/>
      <c r="AO39" s="6757"/>
      <c r="AP39" s="6757"/>
      <c r="AQ39" s="6757"/>
      <c r="AR39" s="6757"/>
      <c r="AS39" s="6757"/>
      <c r="AT39" s="6757"/>
      <c r="AU39" s="6757"/>
      <c r="AV39" s="6757"/>
      <c r="AW39" s="6757"/>
      <c r="AX39" s="6757"/>
      <c r="AY39" s="6757"/>
      <c r="AZ39" s="6757"/>
      <c r="BA39" s="6757"/>
    </row>
    <row r="40" spans="1:60" ht="14.25" customHeight="1">
      <c r="Q40" s="210"/>
      <c r="R40" s="305"/>
      <c r="S40" s="6629" t="s">
        <v>418</v>
      </c>
      <c r="T40" s="6629"/>
      <c r="U40" s="6629"/>
      <c r="V40" s="6629"/>
      <c r="W40" s="6629"/>
      <c r="X40" s="6629"/>
      <c r="Y40" s="6629"/>
      <c r="Z40" s="6629"/>
      <c r="AA40" s="6629"/>
      <c r="AB40" s="6629"/>
      <c r="AC40" s="6629"/>
      <c r="AD40" s="6629"/>
      <c r="AE40" s="6629"/>
      <c r="AF40" s="6629"/>
      <c r="AG40" s="6629"/>
      <c r="AH40" s="6629"/>
      <c r="AI40" s="6629"/>
      <c r="AJ40" s="6629"/>
      <c r="AK40" s="6629"/>
      <c r="AL40" s="6629"/>
      <c r="AM40" s="6629"/>
      <c r="AN40" s="6629"/>
      <c r="AO40" s="6629"/>
      <c r="AP40" s="6629"/>
      <c r="AQ40" s="6629"/>
      <c r="AR40" s="6629"/>
      <c r="AS40" s="6629"/>
      <c r="AT40" s="6629"/>
      <c r="AU40" s="6629"/>
      <c r="AV40" s="6629"/>
      <c r="AW40" s="6629"/>
      <c r="AX40" s="6629"/>
      <c r="AY40" s="6629"/>
      <c r="AZ40" s="6629"/>
      <c r="BA40" s="6629"/>
      <c r="BB40" s="6629"/>
      <c r="BC40" s="6629" t="s">
        <v>419</v>
      </c>
    </row>
    <row r="41" spans="1:60" ht="14.25" customHeight="1">
      <c r="Q41" s="210"/>
      <c r="R41" s="305"/>
      <c r="S41" s="6771" t="s">
        <v>87</v>
      </c>
      <c r="T41" s="6723" t="s">
        <v>630</v>
      </c>
      <c r="U41" s="220"/>
      <c r="V41" s="6772" t="s">
        <v>546</v>
      </c>
      <c r="W41" s="6773"/>
      <c r="X41" s="6773"/>
      <c r="Y41" s="6773"/>
      <c r="Z41" s="6773"/>
      <c r="AA41" s="6773"/>
      <c r="AB41" s="6774"/>
      <c r="AC41" s="6775" t="s">
        <v>547</v>
      </c>
      <c r="AD41" s="6801" t="s">
        <v>647</v>
      </c>
      <c r="AE41" s="6787"/>
      <c r="AF41" s="6787"/>
      <c r="AG41" s="6802"/>
      <c r="AH41" s="6801" t="s">
        <v>648</v>
      </c>
      <c r="AI41" s="6787"/>
      <c r="AJ41" s="6787"/>
      <c r="AK41" s="6802"/>
      <c r="AL41" s="6801" t="s">
        <v>649</v>
      </c>
      <c r="AM41" s="6787"/>
      <c r="AN41" s="6787"/>
      <c r="AO41" s="6802"/>
      <c r="AP41" s="6801" t="s">
        <v>634</v>
      </c>
      <c r="AQ41" s="6787"/>
      <c r="AR41" s="6787"/>
      <c r="AS41" s="6802"/>
      <c r="AT41" s="6772" t="s">
        <v>546</v>
      </c>
      <c r="AU41" s="6773"/>
      <c r="AV41" s="6773"/>
      <c r="AW41" s="6773"/>
      <c r="AX41" s="6773"/>
      <c r="AY41" s="6773"/>
      <c r="AZ41" s="6774"/>
      <c r="BA41" s="6775" t="s">
        <v>547</v>
      </c>
      <c r="BB41" s="6778" t="s">
        <v>549</v>
      </c>
      <c r="BC41" s="6629"/>
    </row>
    <row r="42" spans="1:60" ht="33.75" customHeight="1">
      <c r="Q42" s="210"/>
      <c r="R42" s="305"/>
      <c r="S42" s="6771"/>
      <c r="T42" s="6723"/>
      <c r="U42" s="938"/>
      <c r="V42" s="6708" t="s">
        <v>635</v>
      </c>
      <c r="W42" s="6709"/>
      <c r="X42" s="6708" t="s">
        <v>636</v>
      </c>
      <c r="Y42" s="6709"/>
      <c r="Z42" s="6708" t="s">
        <v>637</v>
      </c>
      <c r="AA42" s="6796"/>
      <c r="AB42" s="6709"/>
      <c r="AC42" s="6776"/>
      <c r="AD42" s="6803"/>
      <c r="AE42" s="6804"/>
      <c r="AF42" s="6804"/>
      <c r="AG42" s="6805"/>
      <c r="AH42" s="6803"/>
      <c r="AI42" s="6804"/>
      <c r="AJ42" s="6804"/>
      <c r="AK42" s="6805"/>
      <c r="AL42" s="6803"/>
      <c r="AM42" s="6804"/>
      <c r="AN42" s="6804"/>
      <c r="AO42" s="6805"/>
      <c r="AP42" s="6803"/>
      <c r="AQ42" s="6804"/>
      <c r="AR42" s="6804"/>
      <c r="AS42" s="6805"/>
      <c r="AT42" s="6708" t="s">
        <v>650</v>
      </c>
      <c r="AU42" s="6709"/>
      <c r="AV42" s="6708" t="s">
        <v>651</v>
      </c>
      <c r="AW42" s="6709"/>
      <c r="AX42" s="6708" t="s">
        <v>637</v>
      </c>
      <c r="AY42" s="6796"/>
      <c r="AZ42" s="6709"/>
      <c r="BA42" s="6776"/>
      <c r="BB42" s="6779"/>
      <c r="BC42" s="6629"/>
    </row>
    <row r="43" spans="1:60" ht="14.25" customHeight="1">
      <c r="Q43" s="210"/>
      <c r="R43" s="305"/>
      <c r="S43" s="6771"/>
      <c r="T43" s="6723"/>
      <c r="U43" s="938"/>
      <c r="V43" s="6713"/>
      <c r="W43" s="6714"/>
      <c r="X43" s="6713"/>
      <c r="Y43" s="6714"/>
      <c r="Z43" s="6713"/>
      <c r="AA43" s="6797"/>
      <c r="AB43" s="6714"/>
      <c r="AC43" s="6776"/>
      <c r="AD43" s="6803"/>
      <c r="AE43" s="6804"/>
      <c r="AF43" s="6804"/>
      <c r="AG43" s="6805"/>
      <c r="AH43" s="6803"/>
      <c r="AI43" s="6804"/>
      <c r="AJ43" s="6804"/>
      <c r="AK43" s="6805"/>
      <c r="AL43" s="6803"/>
      <c r="AM43" s="6804"/>
      <c r="AN43" s="6804"/>
      <c r="AO43" s="6805"/>
      <c r="AP43" s="6803"/>
      <c r="AQ43" s="6804"/>
      <c r="AR43" s="6804"/>
      <c r="AS43" s="6805"/>
      <c r="AT43" s="6713"/>
      <c r="AU43" s="6714"/>
      <c r="AV43" s="6713"/>
      <c r="AW43" s="6714"/>
      <c r="AX43" s="6713"/>
      <c r="AY43" s="6797"/>
      <c r="AZ43" s="6714"/>
      <c r="BA43" s="6776"/>
      <c r="BB43" s="6779"/>
      <c r="BC43" s="6629"/>
    </row>
    <row r="44" spans="1:60" ht="14.25" customHeight="1">
      <c r="A44" s="1286"/>
      <c r="B44" s="1286" t="s">
        <v>201</v>
      </c>
      <c r="C44" s="1286" t="s">
        <v>202</v>
      </c>
      <c r="D44" s="1286" t="s">
        <v>203</v>
      </c>
      <c r="E44" s="1280" t="s">
        <v>554</v>
      </c>
      <c r="F44" s="1280" t="s">
        <v>555</v>
      </c>
      <c r="G44" s="1280" t="s">
        <v>556</v>
      </c>
      <c r="H44" s="1280" t="s">
        <v>557</v>
      </c>
      <c r="I44" s="1280" t="s">
        <v>558</v>
      </c>
      <c r="J44" s="1280" t="s">
        <v>559</v>
      </c>
      <c r="K44" s="1280" t="s">
        <v>560</v>
      </c>
      <c r="L44" s="1280" t="s">
        <v>535</v>
      </c>
      <c r="Q44" s="210"/>
      <c r="R44" s="305"/>
      <c r="S44" s="6771"/>
      <c r="T44" s="6723"/>
      <c r="U44" s="221"/>
      <c r="V44" s="1388" t="s">
        <v>598</v>
      </c>
      <c r="W44" s="1388" t="s">
        <v>599</v>
      </c>
      <c r="X44" s="1388" t="s">
        <v>598</v>
      </c>
      <c r="Y44" s="1388" t="s">
        <v>599</v>
      </c>
      <c r="Z44" s="1398" t="s">
        <v>563</v>
      </c>
      <c r="AA44" s="6731" t="s">
        <v>564</v>
      </c>
      <c r="AB44" s="6733"/>
      <c r="AC44" s="6777"/>
      <c r="AD44" s="6806"/>
      <c r="AE44" s="6807"/>
      <c r="AF44" s="6807"/>
      <c r="AG44" s="6808"/>
      <c r="AH44" s="6806"/>
      <c r="AI44" s="6807"/>
      <c r="AJ44" s="6807"/>
      <c r="AK44" s="6808"/>
      <c r="AL44" s="6806"/>
      <c r="AM44" s="6807"/>
      <c r="AN44" s="6807"/>
      <c r="AO44" s="6808"/>
      <c r="AP44" s="6806"/>
      <c r="AQ44" s="6807"/>
      <c r="AR44" s="6807"/>
      <c r="AS44" s="6808"/>
      <c r="AT44" s="1388" t="s">
        <v>598</v>
      </c>
      <c r="AU44" s="1388" t="s">
        <v>599</v>
      </c>
      <c r="AV44" s="1388" t="s">
        <v>598</v>
      </c>
      <c r="AW44" s="1388" t="s">
        <v>599</v>
      </c>
      <c r="AX44" s="1398" t="s">
        <v>563</v>
      </c>
      <c r="AY44" s="6731" t="s">
        <v>564</v>
      </c>
      <c r="AZ44" s="6733"/>
      <c r="BA44" s="6777"/>
      <c r="BB44" s="6780"/>
      <c r="BC44" s="6629"/>
    </row>
    <row r="45" spans="1:60" s="1816"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178</v>
      </c>
      <c r="T45" s="1172" t="s">
        <v>98</v>
      </c>
      <c r="U45" s="1154" t="str">
        <f ca="1">OFFSET(U45,0,-1)</f>
        <v>2</v>
      </c>
      <c r="V45" s="1391">
        <f t="shared" ref="V45:AA45" ca="1" si="2">OFFSET(V45,0,-1)+1</f>
        <v>3</v>
      </c>
      <c r="W45" s="1391">
        <f t="shared" ca="1" si="2"/>
        <v>4</v>
      </c>
      <c r="X45" s="1391">
        <f t="shared" ca="1" si="2"/>
        <v>5</v>
      </c>
      <c r="Y45" s="1391">
        <f t="shared" ca="1" si="2"/>
        <v>6</v>
      </c>
      <c r="Z45" s="1391">
        <f t="shared" ca="1" si="2"/>
        <v>7</v>
      </c>
      <c r="AA45" s="6770">
        <f t="shared" ca="1" si="2"/>
        <v>8</v>
      </c>
      <c r="AB45" s="677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6770">
        <f ca="1">OFFSET(AY45,0,-1)+1</f>
        <v>3</v>
      </c>
      <c r="AZ45" s="6770"/>
      <c r="BA45" s="1391">
        <f ca="1">OFFSET(BA45,0,-2)+1</f>
        <v>4</v>
      </c>
      <c r="BB45" s="1154">
        <f ca="1">OFFSET(BB45,0,-1)</f>
        <v>4</v>
      </c>
      <c r="BC45" s="1391">
        <f ca="1">OFFSET(BC45,0,-1)+1</f>
        <v>5</v>
      </c>
      <c r="BD45" s="437"/>
      <c r="BE45" s="437"/>
      <c r="BF45" s="437"/>
      <c r="BG45" s="437"/>
      <c r="BH45" s="437"/>
    </row>
    <row r="46" spans="1:60" ht="21" customHeight="1">
      <c r="A46" s="1279" t="s">
        <v>394</v>
      </c>
      <c r="B46" s="1279"/>
      <c r="C46" s="1279"/>
      <c r="D46" s="1279"/>
      <c r="E46" s="6763">
        <v>1</v>
      </c>
      <c r="F46" s="1279"/>
      <c r="G46" s="1279"/>
      <c r="H46" s="1279"/>
      <c r="I46" s="1279"/>
      <c r="J46" s="1279"/>
      <c r="K46" s="1279"/>
      <c r="L46" s="1280"/>
      <c r="M46" s="1281"/>
      <c r="N46" s="1281"/>
      <c r="O46" s="1281"/>
      <c r="P46" s="1324"/>
      <c r="Q46" s="786"/>
      <c r="R46" s="280"/>
      <c r="S46" s="1402">
        <f>INDEX(PT_DIFFERENTIATION_NUM_NTAR,MATCH(A46,PT_DIFFERENTIATION_NTAR_ID,0))</f>
        <v>0</v>
      </c>
      <c r="T46" s="217" t="s">
        <v>189</v>
      </c>
      <c r="U46" s="219"/>
      <c r="V46" s="6750"/>
      <c r="W46" s="6750"/>
      <c r="X46" s="6750"/>
      <c r="Y46" s="6750"/>
      <c r="Z46" s="6750"/>
      <c r="AA46" s="6750"/>
      <c r="AB46" s="6750"/>
      <c r="AC46" s="6751"/>
      <c r="AD46" s="6749" t="str">
        <f>INDEX(PT_DIFFERENTIATION_NTAR,MATCH(A46,PT_DIFFERENTIATION_NTAR_ID,0))</f>
        <v/>
      </c>
      <c r="AE46" s="6750"/>
      <c r="AF46" s="6750"/>
      <c r="AG46" s="6750"/>
      <c r="AH46" s="6750"/>
      <c r="AI46" s="6750"/>
      <c r="AJ46" s="6750"/>
      <c r="AK46" s="6750"/>
      <c r="AL46" s="6750"/>
      <c r="AM46" s="6750"/>
      <c r="AN46" s="6750"/>
      <c r="AO46" s="6750"/>
      <c r="AP46" s="6750"/>
      <c r="AQ46" s="6750"/>
      <c r="AR46" s="6750"/>
      <c r="AS46" s="6750"/>
      <c r="AT46" s="6750"/>
      <c r="AU46" s="6750"/>
      <c r="AV46" s="6750"/>
      <c r="AW46" s="6750"/>
      <c r="AX46" s="6750"/>
      <c r="AY46" s="6750"/>
      <c r="AZ46" s="6750"/>
      <c r="BA46" s="6750"/>
      <c r="BB46" s="67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394</v>
      </c>
      <c r="B47" s="1279" t="s">
        <v>395</v>
      </c>
      <c r="C47" s="1279"/>
      <c r="D47" s="1279"/>
      <c r="E47" s="6764"/>
      <c r="F47" s="6763">
        <v>1</v>
      </c>
      <c r="G47" s="1279"/>
      <c r="H47" s="1279"/>
      <c r="I47" s="1279"/>
      <c r="J47" s="1279"/>
      <c r="K47" s="1279"/>
      <c r="L47" s="1280"/>
      <c r="M47" s="1281"/>
      <c r="N47" s="1281"/>
      <c r="O47" s="1281"/>
      <c r="P47" s="1325"/>
      <c r="Q47" s="1326"/>
      <c r="R47" s="278"/>
      <c r="S47" s="1402" t="str">
        <f>INDEX(PT_DIFFERENTIATION_NUM_TER,MATCH(B47,PT_DIFFERENTIATION_TER_ID,0))</f>
        <v>.</v>
      </c>
      <c r="T47" s="229" t="s">
        <v>517</v>
      </c>
      <c r="U47" s="219"/>
      <c r="V47" s="6750"/>
      <c r="W47" s="6750"/>
      <c r="X47" s="6750"/>
      <c r="Y47" s="6750"/>
      <c r="Z47" s="6750"/>
      <c r="AA47" s="6750"/>
      <c r="AB47" s="6750"/>
      <c r="AC47" s="6751"/>
      <c r="AD47" s="6749" t="str">
        <f>INDEX(PT_DIFFERENTIATION_TER,MATCH(B47,PT_DIFFERENTIATION_TER_ID,0))</f>
        <v/>
      </c>
      <c r="AE47" s="6750"/>
      <c r="AF47" s="6750"/>
      <c r="AG47" s="6750"/>
      <c r="AH47" s="6750"/>
      <c r="AI47" s="6750"/>
      <c r="AJ47" s="6750"/>
      <c r="AK47" s="6750"/>
      <c r="AL47" s="6750"/>
      <c r="AM47" s="6750"/>
      <c r="AN47" s="6750"/>
      <c r="AO47" s="6750"/>
      <c r="AP47" s="6750"/>
      <c r="AQ47" s="6750"/>
      <c r="AR47" s="6750"/>
      <c r="AS47" s="6750"/>
      <c r="AT47" s="6750"/>
      <c r="AU47" s="6750"/>
      <c r="AV47" s="6750"/>
      <c r="AW47" s="6750"/>
      <c r="AX47" s="6750"/>
      <c r="AY47" s="6750"/>
      <c r="AZ47" s="6750"/>
      <c r="BA47" s="6750"/>
      <c r="BB47" s="6751"/>
      <c r="BC47" s="1177" t="s">
        <v>518</v>
      </c>
      <c r="BE47" s="426"/>
      <c r="BF47" s="426" t="str">
        <f t="shared" si="3"/>
        <v>Территория действия тарифа</v>
      </c>
      <c r="BG47" s="426"/>
      <c r="BH47" s="426"/>
    </row>
    <row r="48" spans="1:60" ht="33.75" customHeight="1">
      <c r="A48" s="1279" t="s">
        <v>394</v>
      </c>
      <c r="B48" s="1279" t="s">
        <v>395</v>
      </c>
      <c r="C48" s="1279" t="s">
        <v>396</v>
      </c>
      <c r="D48" s="1279"/>
      <c r="E48" s="6764"/>
      <c r="F48" s="6764"/>
      <c r="G48" s="6763">
        <v>1</v>
      </c>
      <c r="H48" s="1279"/>
      <c r="I48" s="1279"/>
      <c r="J48" s="1279"/>
      <c r="K48" s="1279"/>
      <c r="L48" s="1280"/>
      <c r="M48" s="1281"/>
      <c r="N48" s="1281"/>
      <c r="O48" s="1281"/>
      <c r="P48" s="1327"/>
      <c r="Q48" s="1326"/>
      <c r="R48" s="278"/>
      <c r="S48" s="1402" t="str">
        <f>INDEX(PT_DIFFERENTIATION_NUM_CS,MATCH(C48,PT_DIFFERENTIATION_CS_ID,0))</f>
        <v>..</v>
      </c>
      <c r="T48" s="230" t="s">
        <v>639</v>
      </c>
      <c r="U48" s="219"/>
      <c r="V48" s="6750"/>
      <c r="W48" s="6750"/>
      <c r="X48" s="6750"/>
      <c r="Y48" s="6750"/>
      <c r="Z48" s="6750"/>
      <c r="AA48" s="6750"/>
      <c r="AB48" s="6750"/>
      <c r="AC48" s="6751"/>
      <c r="AD48" s="6749" t="str">
        <f>INDEX(PT_DIFFERENTIATION_CS,MATCH(C48,PT_DIFFERENTIATION_CS_ID,0))</f>
        <v/>
      </c>
      <c r="AE48" s="6750"/>
      <c r="AF48" s="6750"/>
      <c r="AG48" s="6750"/>
      <c r="AH48" s="6750"/>
      <c r="AI48" s="6750"/>
      <c r="AJ48" s="6750"/>
      <c r="AK48" s="6750"/>
      <c r="AL48" s="6750"/>
      <c r="AM48" s="6750"/>
      <c r="AN48" s="6750"/>
      <c r="AO48" s="6750"/>
      <c r="AP48" s="6750"/>
      <c r="AQ48" s="6750"/>
      <c r="AR48" s="6750"/>
      <c r="AS48" s="6750"/>
      <c r="AT48" s="6750"/>
      <c r="AU48" s="6750"/>
      <c r="AV48" s="6750"/>
      <c r="AW48" s="6750"/>
      <c r="AX48" s="6750"/>
      <c r="AY48" s="6750"/>
      <c r="AZ48" s="6750"/>
      <c r="BA48" s="6750"/>
      <c r="BB48" s="6751"/>
      <c r="BC48" s="1177" t="s">
        <v>640</v>
      </c>
      <c r="BE48" s="426"/>
      <c r="BF48" s="426" t="str">
        <f t="shared" si="3"/>
        <v>Наименование централизованной системы водоотведения</v>
      </c>
      <c r="BG48" s="426"/>
      <c r="BH48" s="426"/>
    </row>
    <row r="49" spans="1:60" s="1817" customFormat="1" ht="0" hidden="1" customHeight="1">
      <c r="A49" s="1260" t="s">
        <v>394</v>
      </c>
      <c r="B49" s="1260" t="s">
        <v>395</v>
      </c>
      <c r="C49" s="1260" t="s">
        <v>396</v>
      </c>
      <c r="D49" s="1260" t="s">
        <v>652</v>
      </c>
      <c r="E49" s="6764"/>
      <c r="F49" s="6764"/>
      <c r="G49" s="6764"/>
      <c r="H49" s="6763">
        <v>1</v>
      </c>
      <c r="I49" s="1260"/>
      <c r="J49" s="1260"/>
      <c r="K49" s="1260"/>
      <c r="L49" s="1263"/>
      <c r="M49" s="1233"/>
      <c r="N49" s="1233"/>
      <c r="O49" s="1233"/>
      <c r="P49" s="1406"/>
      <c r="Q49" s="1407"/>
      <c r="R49" s="282"/>
      <c r="S49" s="949"/>
      <c r="T49" s="1408"/>
      <c r="U49" s="1300"/>
      <c r="V49" s="6791"/>
      <c r="W49" s="6791"/>
      <c r="X49" s="6791"/>
      <c r="Y49" s="6791"/>
      <c r="Z49" s="6791"/>
      <c r="AA49" s="6791"/>
      <c r="AB49" s="6791"/>
      <c r="AC49" s="6792"/>
      <c r="AD49" s="6790"/>
      <c r="AE49" s="6791"/>
      <c r="AF49" s="6791"/>
      <c r="AG49" s="6791"/>
      <c r="AH49" s="6791"/>
      <c r="AI49" s="6791"/>
      <c r="AJ49" s="6791"/>
      <c r="AK49" s="6791"/>
      <c r="AL49" s="6791"/>
      <c r="AM49" s="6791"/>
      <c r="AN49" s="6791"/>
      <c r="AO49" s="6791"/>
      <c r="AP49" s="6791"/>
      <c r="AQ49" s="6791"/>
      <c r="AR49" s="6791"/>
      <c r="AS49" s="6791"/>
      <c r="AT49" s="6791"/>
      <c r="AU49" s="6791"/>
      <c r="AV49" s="6791"/>
      <c r="AW49" s="6791"/>
      <c r="AX49" s="6791"/>
      <c r="AY49" s="6791"/>
      <c r="AZ49" s="6791"/>
      <c r="BA49" s="6791"/>
      <c r="BB49" s="6792"/>
      <c r="BC49" s="1301" t="s">
        <v>522</v>
      </c>
      <c r="BE49" s="426"/>
      <c r="BF49" s="426" t="str">
        <f t="shared" si="3"/>
        <v/>
      </c>
      <c r="BG49" s="426"/>
      <c r="BH49" s="426"/>
    </row>
    <row r="50" spans="1:60" s="1817" customFormat="1" ht="0" hidden="1" customHeight="1">
      <c r="A50" s="1260" t="s">
        <v>394</v>
      </c>
      <c r="B50" s="1260" t="s">
        <v>395</v>
      </c>
      <c r="C50" s="1260" t="s">
        <v>396</v>
      </c>
      <c r="D50" s="1260" t="s">
        <v>652</v>
      </c>
      <c r="E50" s="6764"/>
      <c r="F50" s="6764"/>
      <c r="G50" s="6764"/>
      <c r="H50" s="6764"/>
      <c r="I50" s="6761" t="str">
        <f>S49&amp;".1"</f>
        <v>.1</v>
      </c>
      <c r="J50" s="1260"/>
      <c r="K50" s="1260"/>
      <c r="L50" s="1263" t="s">
        <v>523</v>
      </c>
      <c r="M50" s="436"/>
      <c r="N50" s="436"/>
      <c r="O50" s="436"/>
      <c r="P50" s="6762">
        <v>1</v>
      </c>
      <c r="Q50" s="1390"/>
      <c r="R50" s="281"/>
      <c r="S50" s="949"/>
      <c r="T50" s="1299"/>
      <c r="U50" s="1300"/>
      <c r="V50" s="6791"/>
      <c r="W50" s="6791"/>
      <c r="X50" s="6791"/>
      <c r="Y50" s="6791"/>
      <c r="Z50" s="6791"/>
      <c r="AA50" s="6791"/>
      <c r="AB50" s="6791"/>
      <c r="AC50" s="6792"/>
      <c r="AD50" s="6790"/>
      <c r="AE50" s="6791"/>
      <c r="AF50" s="6791"/>
      <c r="AG50" s="6791"/>
      <c r="AH50" s="6791"/>
      <c r="AI50" s="6791"/>
      <c r="AJ50" s="6791"/>
      <c r="AK50" s="6791"/>
      <c r="AL50" s="6791"/>
      <c r="AM50" s="6791"/>
      <c r="AN50" s="6791"/>
      <c r="AO50" s="6791"/>
      <c r="AP50" s="6791"/>
      <c r="AQ50" s="6791"/>
      <c r="AR50" s="6791"/>
      <c r="AS50" s="6791"/>
      <c r="AT50" s="6791"/>
      <c r="AU50" s="6791"/>
      <c r="AV50" s="6791"/>
      <c r="AW50" s="6791"/>
      <c r="AX50" s="6791"/>
      <c r="AY50" s="6791"/>
      <c r="AZ50" s="6791"/>
      <c r="BA50" s="6791"/>
      <c r="BB50" s="6792"/>
      <c r="BC50" s="1301"/>
      <c r="BE50" s="426"/>
      <c r="BF50" s="426" t="str">
        <f t="shared" si="3"/>
        <v/>
      </c>
      <c r="BG50" s="426"/>
      <c r="BH50" s="426"/>
    </row>
    <row r="51" spans="1:60" s="1817" customFormat="1" ht="0" hidden="1" customHeight="1">
      <c r="A51" s="1260" t="s">
        <v>394</v>
      </c>
      <c r="B51" s="1260" t="s">
        <v>395</v>
      </c>
      <c r="C51" s="1260" t="s">
        <v>396</v>
      </c>
      <c r="D51" s="1260" t="s">
        <v>652</v>
      </c>
      <c r="E51" s="6764"/>
      <c r="F51" s="6764"/>
      <c r="G51" s="6764"/>
      <c r="H51" s="6764"/>
      <c r="I51" s="6784"/>
      <c r="J51" s="6761" t="str">
        <f>S49&amp;".1"</f>
        <v>.1</v>
      </c>
      <c r="K51" s="1260"/>
      <c r="L51" s="1263"/>
      <c r="M51" s="436"/>
      <c r="N51" s="436"/>
      <c r="O51" s="436"/>
      <c r="P51" s="6762"/>
      <c r="Q51" s="6762">
        <v>1</v>
      </c>
      <c r="R51" s="282"/>
      <c r="S51" s="949"/>
      <c r="T51" s="1315"/>
      <c r="U51" s="1300"/>
      <c r="V51" s="6791"/>
      <c r="W51" s="6791"/>
      <c r="X51" s="6791"/>
      <c r="Y51" s="6791"/>
      <c r="Z51" s="6791"/>
      <c r="AA51" s="6791"/>
      <c r="AB51" s="6791"/>
      <c r="AC51" s="6792"/>
      <c r="AD51" s="6790"/>
      <c r="AE51" s="6791"/>
      <c r="AF51" s="6791"/>
      <c r="AG51" s="6791"/>
      <c r="AH51" s="6791"/>
      <c r="AI51" s="6791"/>
      <c r="AJ51" s="6791"/>
      <c r="AK51" s="6791"/>
      <c r="AL51" s="6791"/>
      <c r="AM51" s="6791"/>
      <c r="AN51" s="6837"/>
      <c r="AO51" s="6837"/>
      <c r="AP51" s="6791"/>
      <c r="AQ51" s="6791"/>
      <c r="AR51" s="6791"/>
      <c r="AS51" s="6791"/>
      <c r="AT51" s="6791"/>
      <c r="AU51" s="6791"/>
      <c r="AV51" s="6791"/>
      <c r="AW51" s="6791"/>
      <c r="AX51" s="6791"/>
      <c r="AY51" s="6791"/>
      <c r="AZ51" s="6791"/>
      <c r="BA51" s="6791"/>
      <c r="BB51" s="6792"/>
      <c r="BC51" s="1301"/>
      <c r="BE51" s="426"/>
      <c r="BF51" s="426" t="str">
        <f t="shared" si="3"/>
        <v/>
      </c>
      <c r="BG51" s="426"/>
      <c r="BH51" s="426"/>
    </row>
    <row r="52" spans="1:60" ht="11.25" customHeight="1">
      <c r="A52" s="1279" t="s">
        <v>394</v>
      </c>
      <c r="B52" s="1279" t="s">
        <v>395</v>
      </c>
      <c r="C52" s="1279" t="s">
        <v>396</v>
      </c>
      <c r="D52" s="1279" t="s">
        <v>652</v>
      </c>
      <c r="E52" s="6764"/>
      <c r="F52" s="6764"/>
      <c r="G52" s="6764"/>
      <c r="H52" s="6764"/>
      <c r="I52" s="6784"/>
      <c r="J52" s="6784"/>
      <c r="K52" s="6761" t="str">
        <f>S48&amp;".1"</f>
        <v>...1</v>
      </c>
      <c r="L52" s="1280"/>
      <c r="P52" s="6762"/>
      <c r="Q52" s="6762"/>
      <c r="R52" s="282">
        <v>1</v>
      </c>
      <c r="S52" s="6813" t="str">
        <f>$K52</f>
        <v>...1</v>
      </c>
      <c r="T52" s="6833"/>
      <c r="U52" s="219"/>
      <c r="V52" s="668"/>
      <c r="W52" s="1176"/>
      <c r="X52" s="668"/>
      <c r="Y52" s="1176"/>
      <c r="Z52" s="1643"/>
      <c r="AA52" s="1379" t="s">
        <v>61</v>
      </c>
      <c r="AB52" s="1643"/>
      <c r="AC52" s="1379" t="s">
        <v>61</v>
      </c>
      <c r="AD52" s="6688" t="s">
        <v>61</v>
      </c>
      <c r="AE52" s="6799"/>
      <c r="AF52" s="6718">
        <v>1</v>
      </c>
      <c r="AG52" s="6836"/>
      <c r="AH52" s="6610" t="s">
        <v>61</v>
      </c>
      <c r="AI52" s="6799"/>
      <c r="AJ52" s="6718">
        <v>1</v>
      </c>
      <c r="AK52" s="6820" t="s">
        <v>24</v>
      </c>
      <c r="AL52" s="6610" t="s">
        <v>61</v>
      </c>
      <c r="AM52" s="6708"/>
      <c r="AN52" s="6718">
        <v>1</v>
      </c>
      <c r="AO52" s="6830"/>
      <c r="AP52" s="6831" t="s">
        <v>61</v>
      </c>
      <c r="AQ52" s="232"/>
      <c r="AR52" s="1395">
        <v>1</v>
      </c>
      <c r="AS52" s="1401" t="s">
        <v>24</v>
      </c>
      <c r="AT52" s="668"/>
      <c r="AU52" s="1176"/>
      <c r="AV52" s="668"/>
      <c r="AW52" s="1176"/>
      <c r="AX52" s="1643"/>
      <c r="AY52" s="1379" t="s">
        <v>61</v>
      </c>
      <c r="AZ52" s="1643"/>
      <c r="BA52" s="1379" t="s">
        <v>61</v>
      </c>
      <c r="BB52" s="1265"/>
      <c r="BC52" s="6758" t="s">
        <v>624</v>
      </c>
      <c r="BE52" s="426"/>
      <c r="BF52" s="426" t="str">
        <f t="shared" si="3"/>
        <v/>
      </c>
      <c r="BG52" s="426"/>
      <c r="BH52" s="426"/>
    </row>
    <row r="53" spans="1:60" ht="11.25" customHeight="1">
      <c r="A53" s="1279"/>
      <c r="B53" s="1279"/>
      <c r="C53" s="1279"/>
      <c r="D53" s="1279"/>
      <c r="E53" s="6764"/>
      <c r="F53" s="6764"/>
      <c r="G53" s="6764"/>
      <c r="H53" s="6764"/>
      <c r="I53" s="6784"/>
      <c r="J53" s="6784"/>
      <c r="K53" s="6761"/>
      <c r="L53" s="1280"/>
      <c r="P53" s="6762"/>
      <c r="Q53" s="6762"/>
      <c r="R53" s="282"/>
      <c r="S53" s="6814"/>
      <c r="T53" s="6834"/>
      <c r="U53" s="219"/>
      <c r="V53" s="1309"/>
      <c r="W53" s="1405"/>
      <c r="X53" s="1309"/>
      <c r="Y53" s="1405"/>
      <c r="Z53" s="1309"/>
      <c r="AA53" s="1309"/>
      <c r="AB53" s="1309"/>
      <c r="AC53" s="1309"/>
      <c r="AD53" s="6689"/>
      <c r="AE53" s="6799"/>
      <c r="AF53" s="6718"/>
      <c r="AG53" s="6836"/>
      <c r="AH53" s="6610"/>
      <c r="AI53" s="6799"/>
      <c r="AJ53" s="6718"/>
      <c r="AK53" s="6820"/>
      <c r="AL53" s="6610"/>
      <c r="AM53" s="6713"/>
      <c r="AN53" s="6718"/>
      <c r="AO53" s="6830"/>
      <c r="AP53" s="6832"/>
      <c r="AQ53" s="239"/>
      <c r="AR53" s="350"/>
      <c r="AS53" s="350" t="s">
        <v>625</v>
      </c>
      <c r="AT53" s="1309"/>
      <c r="AU53" s="1405"/>
      <c r="AV53" s="1309"/>
      <c r="AW53" s="1405"/>
      <c r="AX53" s="1309"/>
      <c r="AY53" s="1309"/>
      <c r="AZ53" s="1309"/>
      <c r="BA53" s="1309"/>
      <c r="BB53" s="1313"/>
      <c r="BC53" s="6759"/>
      <c r="BE53" s="426"/>
      <c r="BF53" s="426"/>
      <c r="BG53" s="426"/>
      <c r="BH53" s="426"/>
    </row>
    <row r="54" spans="1:60" ht="11.25" customHeight="1">
      <c r="A54" s="1279" t="s">
        <v>394</v>
      </c>
      <c r="B54" s="1279"/>
      <c r="C54" s="1279"/>
      <c r="D54" s="1279"/>
      <c r="E54" s="6764"/>
      <c r="F54" s="6764"/>
      <c r="G54" s="6764"/>
      <c r="H54" s="6764"/>
      <c r="I54" s="6784"/>
      <c r="J54" s="6784"/>
      <c r="K54" s="6761"/>
      <c r="L54" s="1280"/>
      <c r="P54" s="6762"/>
      <c r="Q54" s="6762"/>
      <c r="R54" s="282"/>
      <c r="S54" s="6814"/>
      <c r="T54" s="6834"/>
      <c r="U54" s="219"/>
      <c r="V54" s="1309"/>
      <c r="W54" s="1405"/>
      <c r="X54" s="1309"/>
      <c r="Y54" s="1405"/>
      <c r="Z54" s="1309"/>
      <c r="AA54" s="1309"/>
      <c r="AB54" s="1309"/>
      <c r="AC54" s="1309"/>
      <c r="AD54" s="6689"/>
      <c r="AE54" s="6799"/>
      <c r="AF54" s="6718"/>
      <c r="AG54" s="6836"/>
      <c r="AH54" s="6610"/>
      <c r="AI54" s="6799"/>
      <c r="AJ54" s="6718"/>
      <c r="AK54" s="6820"/>
      <c r="AL54" s="6610"/>
      <c r="AM54" s="239"/>
      <c r="AN54" s="1409"/>
      <c r="AO54" s="1409" t="s">
        <v>645</v>
      </c>
      <c r="AP54" s="350"/>
      <c r="AQ54" s="350"/>
      <c r="AR54" s="350"/>
      <c r="AS54" s="1309"/>
      <c r="AT54" s="1309"/>
      <c r="AU54" s="1405"/>
      <c r="AV54" s="1309"/>
      <c r="AW54" s="1405"/>
      <c r="AX54" s="1309"/>
      <c r="AY54" s="1309"/>
      <c r="AZ54" s="1309"/>
      <c r="BA54" s="1309"/>
      <c r="BB54" s="1313"/>
      <c r="BC54" s="6759"/>
      <c r="BE54" s="426"/>
      <c r="BF54" s="426"/>
      <c r="BG54" s="426"/>
      <c r="BH54" s="426"/>
    </row>
    <row r="55" spans="1:60" ht="11.25" customHeight="1">
      <c r="A55" s="1279" t="s">
        <v>394</v>
      </c>
      <c r="B55" s="1279"/>
      <c r="C55" s="1279"/>
      <c r="D55" s="1279"/>
      <c r="E55" s="6764"/>
      <c r="F55" s="6764"/>
      <c r="G55" s="6764"/>
      <c r="H55" s="6764"/>
      <c r="I55" s="6784"/>
      <c r="J55" s="6784"/>
      <c r="K55" s="6761"/>
      <c r="L55" s="1280"/>
      <c r="P55" s="6762"/>
      <c r="Q55" s="6762"/>
      <c r="R55" s="282"/>
      <c r="S55" s="6814"/>
      <c r="T55" s="6834"/>
      <c r="U55" s="219"/>
      <c r="V55" s="1309"/>
      <c r="W55" s="1405"/>
      <c r="X55" s="1309"/>
      <c r="Y55" s="1405"/>
      <c r="Z55" s="1309"/>
      <c r="AA55" s="1309"/>
      <c r="AB55" s="1309"/>
      <c r="AC55" s="1309"/>
      <c r="AD55" s="6689"/>
      <c r="AE55" s="6799"/>
      <c r="AF55" s="6718"/>
      <c r="AG55" s="6836"/>
      <c r="AH55" s="6610"/>
      <c r="AI55" s="213"/>
      <c r="AJ55" s="349"/>
      <c r="AK55" s="234" t="s">
        <v>646</v>
      </c>
      <c r="AL55" s="1309"/>
      <c r="AM55" s="1309"/>
      <c r="AN55" s="1309"/>
      <c r="AO55" s="1309"/>
      <c r="AP55" s="1309"/>
      <c r="AQ55" s="1309"/>
      <c r="AR55" s="1309"/>
      <c r="AS55" s="1309"/>
      <c r="AT55" s="1309"/>
      <c r="AU55" s="1405"/>
      <c r="AV55" s="1309"/>
      <c r="AW55" s="1405"/>
      <c r="AX55" s="1309"/>
      <c r="AY55" s="1309"/>
      <c r="AZ55" s="1309"/>
      <c r="BA55" s="1309"/>
      <c r="BB55" s="1313"/>
      <c r="BC55" s="6759"/>
      <c r="BE55" s="426"/>
      <c r="BF55" s="426"/>
      <c r="BG55" s="426"/>
      <c r="BH55" s="426"/>
    </row>
    <row r="56" spans="1:60" ht="11.25" customHeight="1">
      <c r="A56" s="1279" t="s">
        <v>394</v>
      </c>
      <c r="B56" s="1279" t="s">
        <v>395</v>
      </c>
      <c r="C56" s="1279" t="s">
        <v>396</v>
      </c>
      <c r="D56" s="1279" t="s">
        <v>652</v>
      </c>
      <c r="E56" s="6764"/>
      <c r="F56" s="6764"/>
      <c r="G56" s="6764"/>
      <c r="H56" s="6764"/>
      <c r="I56" s="6784"/>
      <c r="J56" s="6784"/>
      <c r="K56" s="6761"/>
      <c r="L56" s="1280"/>
      <c r="P56" s="6762"/>
      <c r="Q56" s="6762"/>
      <c r="R56" s="282"/>
      <c r="S56" s="6815"/>
      <c r="T56" s="6835"/>
      <c r="U56" s="219"/>
      <c r="V56" s="1309"/>
      <c r="W56" s="1310" t="str">
        <f>Z52&amp;"-"&amp;AB52</f>
        <v>-</v>
      </c>
      <c r="X56" s="1309"/>
      <c r="Y56" s="1310" t="str">
        <f>AB52&amp;"-"&amp;AD52</f>
        <v>-да</v>
      </c>
      <c r="Z56" s="1309"/>
      <c r="AA56" s="1309"/>
      <c r="AB56" s="1309"/>
      <c r="AC56" s="1309"/>
      <c r="AD56" s="6615"/>
      <c r="AE56" s="233"/>
      <c r="AF56" s="235"/>
      <c r="AG56" s="350" t="s">
        <v>628</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6759"/>
      <c r="BE56" s="426"/>
      <c r="BF56" s="426" t="str">
        <f t="shared" ref="BF56:BF63" si="4">IF(T56="","",T56)</f>
        <v/>
      </c>
      <c r="BG56" s="426"/>
      <c r="BH56" s="426"/>
    </row>
    <row r="57" spans="1:60" ht="11.25" customHeight="1">
      <c r="A57" s="1279" t="s">
        <v>394</v>
      </c>
      <c r="B57" s="1279" t="s">
        <v>395</v>
      </c>
      <c r="C57" s="1279" t="s">
        <v>396</v>
      </c>
      <c r="D57" s="1279" t="s">
        <v>652</v>
      </c>
      <c r="E57" s="6764"/>
      <c r="F57" s="6764"/>
      <c r="G57" s="6764"/>
      <c r="H57" s="6764"/>
      <c r="I57" s="6784"/>
      <c r="J57" s="6761"/>
      <c r="K57" s="1279"/>
      <c r="L57" s="1280"/>
      <c r="P57" s="6762"/>
      <c r="Q57" s="6762"/>
      <c r="R57" s="281"/>
      <c r="S57" s="1198"/>
      <c r="T57" s="206" t="s">
        <v>586</v>
      </c>
      <c r="U57" s="295"/>
      <c r="V57" s="295"/>
      <c r="W57" s="295"/>
      <c r="X57" s="295"/>
      <c r="Y57" s="295"/>
      <c r="Z57" s="295"/>
      <c r="AA57" s="295"/>
      <c r="AB57" s="295"/>
      <c r="AC57" s="250"/>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6760"/>
      <c r="BE57" s="426"/>
      <c r="BF57" s="426" t="str">
        <f t="shared" si="4"/>
        <v>Добавить строку</v>
      </c>
      <c r="BG57" s="426"/>
      <c r="BH57" s="426"/>
    </row>
    <row r="58" spans="1:60" s="1817" customFormat="1" ht="0" hidden="1" customHeight="1">
      <c r="A58" s="1260" t="s">
        <v>394</v>
      </c>
      <c r="B58" s="1260" t="s">
        <v>395</v>
      </c>
      <c r="C58" s="1260" t="s">
        <v>396</v>
      </c>
      <c r="D58" s="1260" t="s">
        <v>652</v>
      </c>
      <c r="E58" s="6764"/>
      <c r="F58" s="6764"/>
      <c r="G58" s="6764"/>
      <c r="H58" s="6764"/>
      <c r="I58" s="6761"/>
      <c r="J58" s="1260"/>
      <c r="K58" s="1260"/>
      <c r="L58" s="1263"/>
      <c r="M58" s="436"/>
      <c r="N58" s="436"/>
      <c r="O58" s="436"/>
      <c r="P58" s="6762"/>
      <c r="Q58" s="1390"/>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394</v>
      </c>
      <c r="B59" s="1260" t="s">
        <v>395</v>
      </c>
      <c r="C59" s="1260" t="s">
        <v>396</v>
      </c>
      <c r="D59" s="1260" t="s">
        <v>652</v>
      </c>
      <c r="E59" s="6764"/>
      <c r="F59" s="6764"/>
      <c r="G59" s="6764"/>
      <c r="H59" s="676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067" customFormat="1" ht="0" hidden="1" customHeight="1">
      <c r="A60" s="1260" t="s">
        <v>394</v>
      </c>
      <c r="B60" s="1260" t="s">
        <v>395</v>
      </c>
      <c r="C60" s="1260" t="s">
        <v>396</v>
      </c>
      <c r="D60" s="1232"/>
      <c r="E60" s="6764"/>
      <c r="F60" s="6764"/>
      <c r="G60" s="6763"/>
      <c r="H60" s="1232"/>
      <c r="I60" s="1232"/>
      <c r="J60" s="1232"/>
      <c r="K60" s="1232"/>
      <c r="L60" s="1403"/>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067" customFormat="1" ht="0" hidden="1" customHeight="1">
      <c r="A61" s="1260" t="s">
        <v>394</v>
      </c>
      <c r="B61" s="1260" t="s">
        <v>395</v>
      </c>
      <c r="C61" s="1232"/>
      <c r="D61" s="1232"/>
      <c r="E61" s="6764"/>
      <c r="F61" s="6763"/>
      <c r="G61" s="1232"/>
      <c r="H61" s="1232"/>
      <c r="I61" s="1232"/>
      <c r="J61" s="1232"/>
      <c r="K61" s="1232"/>
      <c r="L61" s="1403"/>
      <c r="M61" s="1239"/>
      <c r="N61" s="1239"/>
      <c r="P61" s="1234"/>
      <c r="Q61" s="1235"/>
      <c r="R61" s="1234"/>
      <c r="S61" s="1240"/>
      <c r="T61" s="1243" t="s">
        <v>229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394</v>
      </c>
      <c r="B62" s="1260"/>
      <c r="C62" s="1260"/>
      <c r="D62" s="1260"/>
      <c r="E62" s="6763"/>
      <c r="F62" s="1260"/>
      <c r="G62" s="1260"/>
      <c r="H62" s="1260"/>
      <c r="I62" s="1260"/>
      <c r="J62" s="1260"/>
      <c r="K62" s="1260"/>
      <c r="L62" s="1263"/>
      <c r="M62" s="1239"/>
      <c r="N62" s="1239"/>
      <c r="O62" s="444"/>
      <c r="P62" s="313"/>
      <c r="Q62" s="1261"/>
      <c r="R62" s="313"/>
      <c r="S62" s="1240"/>
      <c r="T62" s="1243" t="s">
        <v>272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067" customFormat="1" ht="0" hidden="1" customHeight="1">
      <c r="A63" s="1232"/>
      <c r="B63" s="1232"/>
      <c r="C63" s="1232"/>
      <c r="D63" s="1232"/>
      <c r="E63" s="1260"/>
      <c r="F63" s="1232"/>
      <c r="G63" s="1232"/>
      <c r="H63" s="1232"/>
      <c r="I63" s="1232"/>
      <c r="J63" s="1232"/>
      <c r="K63" s="1232"/>
      <c r="L63" s="1403"/>
      <c r="M63" s="1239"/>
      <c r="N63" s="1239"/>
      <c r="P63" s="1234"/>
      <c r="Q63" s="1235"/>
      <c r="R63" s="1234"/>
      <c r="S63" s="1240"/>
      <c r="T63" s="1243" t="s">
        <v>273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6783"/>
      <c r="U65" s="6783"/>
      <c r="V65" s="6783"/>
      <c r="W65" s="6783"/>
      <c r="X65" s="6783"/>
      <c r="Y65" s="6783"/>
      <c r="Z65" s="6783"/>
      <c r="AA65" s="6783"/>
      <c r="AB65" s="6783"/>
      <c r="AC65" s="6783"/>
      <c r="AD65" s="6783"/>
      <c r="AE65" s="6783"/>
      <c r="AF65" s="6783"/>
      <c r="AG65" s="6783"/>
      <c r="AH65" s="6783"/>
      <c r="AI65" s="6783"/>
      <c r="AJ65" s="6783"/>
      <c r="AK65" s="6783"/>
      <c r="AL65" s="6783"/>
      <c r="AM65" s="6783"/>
      <c r="AN65" s="6783"/>
      <c r="AO65" s="6783"/>
      <c r="AP65" s="6783"/>
      <c r="AQ65" s="6783"/>
      <c r="AR65" s="6783"/>
      <c r="AS65" s="6783"/>
      <c r="AT65" s="6783"/>
      <c r="AU65" s="6783"/>
      <c r="AV65" s="6783"/>
      <c r="AW65" s="6783"/>
      <c r="AX65" s="6783"/>
      <c r="AY65" s="6783"/>
      <c r="AZ65" s="6783"/>
      <c r="BA65" s="6783"/>
      <c r="BB65" s="6783"/>
      <c r="BC65" s="6783"/>
    </row>
    <row r="66" spans="15:55" ht="14.25" customHeight="1">
      <c r="O66" s="462"/>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4.25" customHeight="1">
      <c r="O67" s="462"/>
      <c r="S67" s="1164"/>
      <c r="T67" s="6783"/>
      <c r="U67" s="6783"/>
      <c r="V67" s="6783"/>
      <c r="W67" s="6783"/>
      <c r="X67" s="6783"/>
      <c r="Y67" s="6783"/>
      <c r="Z67" s="6783"/>
      <c r="AA67" s="6783"/>
      <c r="AB67" s="6783"/>
      <c r="AC67" s="6783"/>
      <c r="AD67" s="6783"/>
      <c r="AE67" s="6783"/>
      <c r="AF67" s="6783"/>
      <c r="AG67" s="6783"/>
      <c r="AH67" s="6783"/>
      <c r="AI67" s="6783"/>
      <c r="AJ67" s="6783"/>
      <c r="AK67" s="6783"/>
      <c r="AL67" s="6783"/>
      <c r="AM67" s="6783"/>
      <c r="AN67" s="6783"/>
      <c r="AO67" s="6783"/>
      <c r="AP67" s="6783"/>
      <c r="AQ67" s="6783"/>
      <c r="AR67" s="6783"/>
      <c r="AS67" s="6783"/>
      <c r="AT67" s="6783"/>
      <c r="AU67" s="6783"/>
      <c r="AV67" s="6783"/>
      <c r="AW67" s="6783"/>
      <c r="AX67" s="6783"/>
      <c r="AY67" s="6783"/>
      <c r="AZ67" s="6783"/>
      <c r="BA67" s="6783"/>
      <c r="BB67" s="6783"/>
      <c r="BC67" s="6783"/>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9" hidden="1" customWidth="1"/>
    <col min="13" max="14" width="12.28515625" style="2069" hidden="1" customWidth="1"/>
    <col min="15" max="15" width="23.42578125" style="2069" hidden="1" customWidth="1"/>
    <col min="16" max="16" width="3.7109375" style="6500"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402"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96"/>
      <c r="Q3" s="277"/>
      <c r="R3" s="278"/>
      <c r="S3" s="1402"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402" t="e">
        <f>INDEX(PT_DIFFERENTIATION_NUM_CS,MATCH(C4,PT_DIFFERENTIATION_CS_ID,0))</f>
        <v>#N/A</v>
      </c>
      <c r="T4" s="230" t="s">
        <v>653</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654</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90"/>
      <c r="R5" s="281"/>
      <c r="S5" s="1402"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402"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402"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99"/>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90"/>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403"/>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87"/>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87"/>
      <c r="M19" s="1278"/>
      <c r="N19" s="1278"/>
      <c r="O19" s="1278"/>
      <c r="P19" s="1278"/>
      <c r="Q19" s="1287"/>
      <c r="R19" s="1287"/>
      <c r="S19" s="648"/>
      <c r="AB19" s="1282"/>
      <c r="AI19" s="1282"/>
      <c r="AL19" s="437"/>
      <c r="AM19" s="437"/>
      <c r="AN19" s="437"/>
      <c r="AO19" s="437"/>
      <c r="AP19" s="437"/>
    </row>
    <row r="20" spans="1:42" s="1830" customFormat="1" ht="12" hidden="1" customHeight="1">
      <c r="L20" s="1387"/>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674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hidden="1"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hidden="1"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97"/>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92" t="s">
        <v>655</v>
      </c>
      <c r="W38" s="6600" t="s">
        <v>656</v>
      </c>
      <c r="X38" s="6599"/>
      <c r="Y38" s="6600" t="s">
        <v>553</v>
      </c>
      <c r="Z38" s="6605"/>
      <c r="AA38" s="6599"/>
      <c r="AB38" s="6776"/>
      <c r="AC38" s="1392" t="s">
        <v>655</v>
      </c>
      <c r="AD38" s="6600" t="s">
        <v>656</v>
      </c>
      <c r="AE38" s="6599"/>
      <c r="AF38" s="6600" t="s">
        <v>553</v>
      </c>
      <c r="AG38" s="6605"/>
      <c r="AH38" s="6599"/>
      <c r="AI38" s="6776"/>
      <c r="AJ38" s="6779"/>
      <c r="AK38" s="6629"/>
    </row>
    <row r="39" spans="1:42" ht="86.2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92" t="s">
        <v>657</v>
      </c>
      <c r="W39" s="1128" t="s">
        <v>658</v>
      </c>
      <c r="X39" s="1128" t="s">
        <v>659</v>
      </c>
      <c r="Y39" s="1398" t="s">
        <v>563</v>
      </c>
      <c r="Z39" s="6731" t="s">
        <v>564</v>
      </c>
      <c r="AA39" s="6733"/>
      <c r="AB39" s="6777"/>
      <c r="AC39" s="1392" t="s">
        <v>657</v>
      </c>
      <c r="AD39" s="1128" t="s">
        <v>658</v>
      </c>
      <c r="AE39" s="1128" t="s">
        <v>659</v>
      </c>
      <c r="AF39" s="1398" t="s">
        <v>563</v>
      </c>
      <c r="AG39" s="6731" t="s">
        <v>564</v>
      </c>
      <c r="AH39" s="6733"/>
      <c r="AI39" s="6777"/>
      <c r="AJ39" s="6780"/>
      <c r="AK39" s="6629"/>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91">
        <f ca="1">OFFSET(V40,0,-1)+1</f>
        <v>3</v>
      </c>
      <c r="W40" s="1391">
        <f ca="1">OFFSET(W40,0,-1)+1</f>
        <v>4</v>
      </c>
      <c r="X40" s="1391">
        <f ca="1">OFFSET(X40,0,-1)+1</f>
        <v>5</v>
      </c>
      <c r="Y40" s="1391">
        <f ca="1">OFFSET(Y40,0,-1)+1</f>
        <v>6</v>
      </c>
      <c r="Z40" s="6770">
        <f ca="1">OFFSET(Z40,0,-1)+1</f>
        <v>7</v>
      </c>
      <c r="AA40" s="6770"/>
      <c r="AB40" s="1391">
        <f ca="1">OFFSET(AB40,0,-2)+1</f>
        <v>8</v>
      </c>
      <c r="AC40" s="1391">
        <f ca="1">OFFSET(AC40,0,-1)+1</f>
        <v>9</v>
      </c>
      <c r="AD40" s="1391">
        <f ca="1">OFFSET(AD40,0,-1)+1</f>
        <v>10</v>
      </c>
      <c r="AE40" s="1391">
        <f ca="1">OFFSET(AE40,0,-1)+1</f>
        <v>11</v>
      </c>
      <c r="AF40" s="1391">
        <f ca="1">OFFSET(AF40,0,-1)+1</f>
        <v>12</v>
      </c>
      <c r="AG40" s="6770">
        <f ca="1">OFFSET(AG40,0,-1)+1</f>
        <v>13</v>
      </c>
      <c r="AH40" s="6770"/>
      <c r="AI40" s="1391">
        <f ca="1">OFFSET(AI40,0,-2)+1</f>
        <v>14</v>
      </c>
      <c r="AJ40" s="1154">
        <f ca="1">OFFSET(AJ40,0,-1)</f>
        <v>14</v>
      </c>
      <c r="AK40" s="1391">
        <f ca="1">OFFSET(AK40,0,-1)+1</f>
        <v>15</v>
      </c>
      <c r="AL40" s="437"/>
      <c r="AM40" s="437"/>
      <c r="AN40" s="437"/>
      <c r="AO40" s="437"/>
      <c r="AP40" s="437"/>
    </row>
    <row r="41" spans="1:42" ht="23.25" customHeight="1">
      <c r="A41" s="1279" t="s">
        <v>369</v>
      </c>
      <c r="B41" s="1279"/>
      <c r="C41" s="1279"/>
      <c r="D41" s="1279"/>
      <c r="E41" s="6763">
        <v>1</v>
      </c>
      <c r="F41" s="1279"/>
      <c r="G41" s="1279"/>
      <c r="H41" s="1279"/>
      <c r="I41" s="1279"/>
      <c r="J41" s="1279"/>
      <c r="K41" s="1279"/>
      <c r="L41" s="1280"/>
      <c r="M41" s="1281"/>
      <c r="N41" s="1281"/>
      <c r="O41" s="1281"/>
      <c r="P41" s="286"/>
      <c r="Q41" s="285"/>
      <c r="R41" s="280"/>
      <c r="S41" s="1402">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369</v>
      </c>
      <c r="B42" s="1279" t="s">
        <v>370</v>
      </c>
      <c r="C42" s="1279"/>
      <c r="D42" s="1279"/>
      <c r="E42" s="6764"/>
      <c r="F42" s="6763">
        <v>1</v>
      </c>
      <c r="G42" s="1279"/>
      <c r="H42" s="1279"/>
      <c r="I42" s="1279"/>
      <c r="J42" s="1279"/>
      <c r="K42" s="1279"/>
      <c r="L42" s="1280"/>
      <c r="M42" s="1281"/>
      <c r="N42" s="1281"/>
      <c r="O42" s="1281"/>
      <c r="P42" s="1396"/>
      <c r="Q42" s="277"/>
      <c r="R42" s="278"/>
      <c r="S42" s="1402"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369</v>
      </c>
      <c r="B43" s="1279" t="s">
        <v>370</v>
      </c>
      <c r="C43" s="1279" t="s">
        <v>371</v>
      </c>
      <c r="D43" s="1279"/>
      <c r="E43" s="6764"/>
      <c r="F43" s="6764"/>
      <c r="G43" s="6763">
        <v>1</v>
      </c>
      <c r="H43" s="1279"/>
      <c r="I43" s="1279"/>
      <c r="J43" s="1279"/>
      <c r="K43" s="1279"/>
      <c r="L43" s="1280"/>
      <c r="M43" s="1281"/>
      <c r="N43" s="1281"/>
      <c r="O43" s="1281"/>
      <c r="P43" s="279"/>
      <c r="Q43" s="277"/>
      <c r="R43" s="278"/>
      <c r="S43" s="1402" t="str">
        <f>INDEX(PT_DIFFERENTIATION_NUM_CS,MATCH(C43,PT_DIFFERENTIATION_CS_ID,0))</f>
        <v>..</v>
      </c>
      <c r="T43" s="230" t="s">
        <v>653</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654</v>
      </c>
      <c r="AM43" s="426"/>
      <c r="AN43" s="426" t="str">
        <f t="shared" si="1"/>
        <v>Наименование централизованной системы горячего водоснабжения</v>
      </c>
      <c r="AO43" s="426"/>
      <c r="AP43" s="426"/>
    </row>
    <row r="44" spans="1:42" ht="23.25" customHeight="1">
      <c r="A44" s="1279" t="s">
        <v>369</v>
      </c>
      <c r="B44" s="1279" t="s">
        <v>370</v>
      </c>
      <c r="C44" s="1279" t="s">
        <v>371</v>
      </c>
      <c r="D44" s="1279" t="s">
        <v>660</v>
      </c>
      <c r="E44" s="6764"/>
      <c r="F44" s="6764"/>
      <c r="G44" s="6764"/>
      <c r="H44" s="6764"/>
      <c r="I44" s="6761" t="str">
        <f>S43&amp;".1"</f>
        <v>...1</v>
      </c>
      <c r="J44" s="1279"/>
      <c r="K44" s="1279"/>
      <c r="L44" s="1280"/>
      <c r="P44" s="6762">
        <v>1</v>
      </c>
      <c r="Q44" s="1390"/>
      <c r="R44" s="281"/>
      <c r="S44" s="1402"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369</v>
      </c>
      <c r="B45" s="1279" t="s">
        <v>370</v>
      </c>
      <c r="C45" s="1279" t="s">
        <v>371</v>
      </c>
      <c r="D45" s="1279" t="s">
        <v>660</v>
      </c>
      <c r="E45" s="6764"/>
      <c r="F45" s="6764"/>
      <c r="G45" s="6764"/>
      <c r="H45" s="6764"/>
      <c r="I45" s="6784"/>
      <c r="J45" s="6761" t="str">
        <f>I44&amp;".1"</f>
        <v>...1.1</v>
      </c>
      <c r="K45" s="1279"/>
      <c r="L45" s="1280" t="s">
        <v>526</v>
      </c>
      <c r="P45" s="6762"/>
      <c r="Q45" s="6762">
        <v>1</v>
      </c>
      <c r="R45" s="282"/>
      <c r="S45" s="1402"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369</v>
      </c>
      <c r="B46" s="1279" t="s">
        <v>370</v>
      </c>
      <c r="C46" s="1279" t="s">
        <v>371</v>
      </c>
      <c r="D46" s="1279" t="s">
        <v>660</v>
      </c>
      <c r="E46" s="6764"/>
      <c r="F46" s="6764"/>
      <c r="G46" s="6764"/>
      <c r="H46" s="6764"/>
      <c r="I46" s="6784"/>
      <c r="J46" s="6784"/>
      <c r="K46" s="6761" t="str">
        <f>J45&amp;".1"</f>
        <v>...1.1.1</v>
      </c>
      <c r="L46" s="1280"/>
      <c r="P46" s="6762"/>
      <c r="Q46" s="6762"/>
      <c r="R46" s="282">
        <v>1</v>
      </c>
      <c r="S46" s="1402" t="str">
        <f>$K46</f>
        <v>...1.1.1</v>
      </c>
      <c r="T46" s="1351"/>
      <c r="U46" s="219"/>
      <c r="V46" s="1276"/>
      <c r="W46" s="1276"/>
      <c r="X46" s="1277"/>
      <c r="Y46" s="6768"/>
      <c r="Z46" s="6769" t="s">
        <v>61</v>
      </c>
      <c r="AA46" s="6768"/>
      <c r="AB46" s="6769" t="s">
        <v>61</v>
      </c>
      <c r="AC46" s="668"/>
      <c r="AD46" s="668"/>
      <c r="AE46" s="1176"/>
      <c r="AF46" s="6766"/>
      <c r="AG46" s="6610" t="s">
        <v>61</v>
      </c>
      <c r="AH46" s="6785"/>
      <c r="AI46" s="6610" t="s">
        <v>56</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369</v>
      </c>
      <c r="B47" s="1279" t="s">
        <v>370</v>
      </c>
      <c r="C47" s="1279" t="s">
        <v>371</v>
      </c>
      <c r="D47" s="1279" t="s">
        <v>660</v>
      </c>
      <c r="E47" s="6764"/>
      <c r="F47" s="6764"/>
      <c r="G47" s="6764"/>
      <c r="H47" s="6764"/>
      <c r="I47" s="6784"/>
      <c r="J47" s="6784"/>
      <c r="K47" s="6761"/>
      <c r="L47" s="1280"/>
      <c r="P47" s="6762"/>
      <c r="Q47" s="6762"/>
      <c r="R47" s="282"/>
      <c r="S47" s="1399"/>
      <c r="T47" s="219"/>
      <c r="U47" s="219"/>
      <c r="V47" s="1276"/>
      <c r="W47" s="1276"/>
      <c r="X47" s="255" t="str">
        <f>Y46&amp;"-"&amp;AA46</f>
        <v>-</v>
      </c>
      <c r="Y47" s="6769"/>
      <c r="Z47" s="6769"/>
      <c r="AA47" s="6769"/>
      <c r="AB47" s="6769"/>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369</v>
      </c>
      <c r="B48" s="1279" t="s">
        <v>370</v>
      </c>
      <c r="C48" s="1279" t="s">
        <v>371</v>
      </c>
      <c r="D48" s="1279" t="s">
        <v>660</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369</v>
      </c>
      <c r="B49" s="1279" t="s">
        <v>370</v>
      </c>
      <c r="C49" s="1279" t="s">
        <v>371</v>
      </c>
      <c r="D49" s="1279" t="s">
        <v>660</v>
      </c>
      <c r="E49" s="6764"/>
      <c r="F49" s="6764"/>
      <c r="G49" s="6764"/>
      <c r="H49" s="6764"/>
      <c r="I49" s="6761"/>
      <c r="J49" s="1279"/>
      <c r="K49" s="1279"/>
      <c r="L49" s="1280"/>
      <c r="P49" s="6762"/>
      <c r="Q49" s="1390"/>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369</v>
      </c>
      <c r="B50" s="1279" t="s">
        <v>370</v>
      </c>
      <c r="C50" s="1279" t="s">
        <v>371</v>
      </c>
      <c r="D50" s="1279" t="s">
        <v>660</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369</v>
      </c>
      <c r="B51" s="1260" t="s">
        <v>370</v>
      </c>
      <c r="C51" s="1232"/>
      <c r="D51" s="1232"/>
      <c r="E51" s="6764"/>
      <c r="F51" s="6763"/>
      <c r="G51" s="1232"/>
      <c r="H51" s="1232"/>
      <c r="I51" s="1232"/>
      <c r="J51" s="1232"/>
      <c r="K51" s="1232"/>
      <c r="L51" s="1403"/>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369</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403"/>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4.140625" style="1830" hidden="1" customWidth="1"/>
    <col min="10" max="10" width="9.85546875" style="1830" hidden="1" customWidth="1"/>
    <col min="11" max="11" width="14.7109375" style="1830" hidden="1" customWidth="1"/>
    <col min="12" max="12" width="19.140625" style="6499" hidden="1" customWidth="1"/>
    <col min="13" max="14" width="12.28515625" style="2069" hidden="1" customWidth="1"/>
    <col min="15" max="15" width="23.42578125" style="2069" hidden="1" customWidth="1"/>
    <col min="16" max="16" width="3.7109375" style="6500" customWidth="1"/>
    <col min="17" max="18" width="3.7109375" style="2075" customWidth="1"/>
    <col min="19" max="19" width="12.7109375" style="2076" customWidth="1"/>
    <col min="20" max="20" width="35.7109375" style="2042" customWidth="1"/>
    <col min="21" max="21" width="0.140625" style="2042" customWidth="1"/>
    <col min="22" max="24" width="24.7109375" style="2042" hidden="1" customWidth="1"/>
    <col min="25" max="25" width="11.7109375" style="2042" hidden="1" customWidth="1"/>
    <col min="26" max="26" width="3.7109375" style="2042" hidden="1" customWidth="1"/>
    <col min="27" max="27" width="11.7109375" style="2042" hidden="1" customWidth="1"/>
    <col min="28" max="28" width="8.5703125" style="2042" hidden="1" customWidth="1"/>
    <col min="29" max="31" width="24.7109375" style="2042" customWidth="1"/>
    <col min="32" max="32" width="11.7109375" style="2042" customWidth="1"/>
    <col min="33" max="33" width="3.7109375" style="2042" customWidth="1"/>
    <col min="34" max="34" width="11.7109375" style="2042" customWidth="1"/>
    <col min="35" max="35" width="8.5703125" style="2042" hidden="1" customWidth="1"/>
    <col min="36" max="36" width="4.7109375" style="2042" customWidth="1"/>
    <col min="37" max="37" width="115.7109375" style="2042" customWidth="1"/>
    <col min="38" max="39" width="10.5703125" style="1817"/>
    <col min="40" max="40" width="11.140625" style="1817" customWidth="1"/>
    <col min="41" max="42" width="10.5703125" style="1817"/>
  </cols>
  <sheetData>
    <row r="1" spans="1:42" ht="14.25" hidden="1" customHeight="1">
      <c r="X1" s="254"/>
      <c r="Y1" s="254"/>
      <c r="AE1" s="254"/>
      <c r="AF1" s="254"/>
    </row>
    <row r="2" spans="1:42" ht="23.25" hidden="1" customHeight="1">
      <c r="A2" s="1279"/>
      <c r="B2" s="1279"/>
      <c r="C2" s="1279"/>
      <c r="D2" s="1279"/>
      <c r="E2" s="6763">
        <v>1</v>
      </c>
      <c r="F2" s="1279"/>
      <c r="G2" s="1279"/>
      <c r="H2" s="1279"/>
      <c r="I2" s="1279"/>
      <c r="J2" s="1279"/>
      <c r="K2" s="1279"/>
      <c r="L2" s="1280"/>
      <c r="M2" s="1281"/>
      <c r="N2" s="1281"/>
      <c r="O2" s="1281"/>
      <c r="P2" s="286"/>
      <c r="Q2" s="285"/>
      <c r="R2" s="280"/>
      <c r="S2" s="1402" t="e">
        <f>INDEX(PT_DIFFERENTIATION_NUM_NTAR,MATCH(A2,PT_DIFFERENTIATION_NTAR_ID,0))</f>
        <v>#N/A</v>
      </c>
      <c r="T2" s="217" t="s">
        <v>189</v>
      </c>
      <c r="U2" s="219"/>
      <c r="V2" s="6749"/>
      <c r="W2" s="6750"/>
      <c r="X2" s="6750"/>
      <c r="Y2" s="6750"/>
      <c r="Z2" s="6750"/>
      <c r="AA2" s="6750"/>
      <c r="AB2" s="6751"/>
      <c r="AC2" s="6749" t="e">
        <f>INDEX(PT_DIFFERENTIATION_NTAR,MATCH(A2,PT_DIFFERENTIATION_NTAR_ID,0))</f>
        <v>#N/A</v>
      </c>
      <c r="AD2" s="6750"/>
      <c r="AE2" s="6750"/>
      <c r="AF2" s="6750"/>
      <c r="AG2" s="6750"/>
      <c r="AH2" s="6750"/>
      <c r="AI2" s="6750"/>
      <c r="AJ2" s="675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6764"/>
      <c r="F3" s="6763">
        <v>1</v>
      </c>
      <c r="G3" s="1279"/>
      <c r="H3" s="1279"/>
      <c r="I3" s="1279"/>
      <c r="J3" s="1279"/>
      <c r="K3" s="1279"/>
      <c r="L3" s="1280"/>
      <c r="M3" s="1281"/>
      <c r="N3" s="1281"/>
      <c r="O3" s="1281"/>
      <c r="P3" s="1396"/>
      <c r="Q3" s="277"/>
      <c r="R3" s="278"/>
      <c r="S3" s="1402" t="e">
        <f>INDEX(PT_DIFFERENTIATION_NUM_TER,MATCH(B3,PT_DIFFERENTIATION_TER_ID,0))</f>
        <v>#N/A</v>
      </c>
      <c r="T3" s="229" t="s">
        <v>517</v>
      </c>
      <c r="U3" s="219"/>
      <c r="V3" s="6749"/>
      <c r="W3" s="6750"/>
      <c r="X3" s="6750"/>
      <c r="Y3" s="6750"/>
      <c r="Z3" s="6750"/>
      <c r="AA3" s="6750"/>
      <c r="AB3" s="6751"/>
      <c r="AC3" s="6749" t="e">
        <f>INDEX(PT_DIFFERENTIATION_TER,MATCH(B3,PT_DIFFERENTIATION_TER_ID,0))</f>
        <v>#N/A</v>
      </c>
      <c r="AD3" s="6750"/>
      <c r="AE3" s="6750"/>
      <c r="AF3" s="6750"/>
      <c r="AG3" s="6750"/>
      <c r="AH3" s="6750"/>
      <c r="AI3" s="6750"/>
      <c r="AJ3" s="6751"/>
      <c r="AK3" s="1177" t="s">
        <v>518</v>
      </c>
      <c r="AM3" s="426"/>
      <c r="AN3" s="426" t="str">
        <f t="shared" si="0"/>
        <v>Территория действия тарифа</v>
      </c>
      <c r="AO3" s="426"/>
      <c r="AP3" s="426"/>
    </row>
    <row r="4" spans="1:42" ht="23.25" hidden="1" customHeight="1">
      <c r="A4" s="1279"/>
      <c r="B4" s="1279"/>
      <c r="C4" s="1279"/>
      <c r="D4" s="1279"/>
      <c r="E4" s="6764"/>
      <c r="F4" s="6764"/>
      <c r="G4" s="6763">
        <v>1</v>
      </c>
      <c r="H4" s="1279"/>
      <c r="I4" s="1279"/>
      <c r="J4" s="1279"/>
      <c r="K4" s="1279"/>
      <c r="L4" s="1280"/>
      <c r="M4" s="1281"/>
      <c r="N4" s="1281"/>
      <c r="O4" s="1281"/>
      <c r="P4" s="279"/>
      <c r="Q4" s="277"/>
      <c r="R4" s="278"/>
      <c r="S4" s="1402" t="e">
        <f>INDEX(PT_DIFFERENTIATION_NUM_CS,MATCH(C4,PT_DIFFERENTIATION_CS_ID,0))</f>
        <v>#N/A</v>
      </c>
      <c r="T4" s="230" t="s">
        <v>653</v>
      </c>
      <c r="U4" s="219"/>
      <c r="V4" s="6749"/>
      <c r="W4" s="6750"/>
      <c r="X4" s="6750"/>
      <c r="Y4" s="6750"/>
      <c r="Z4" s="6750"/>
      <c r="AA4" s="6750"/>
      <c r="AB4" s="6751"/>
      <c r="AC4" s="6749" t="e">
        <f>INDEX(PT_DIFFERENTIATION_CS,MATCH(C4,PT_DIFFERENTIATION_CS_ID,0))</f>
        <v>#N/A</v>
      </c>
      <c r="AD4" s="6750"/>
      <c r="AE4" s="6750"/>
      <c r="AF4" s="6750"/>
      <c r="AG4" s="6750"/>
      <c r="AH4" s="6750"/>
      <c r="AI4" s="6750"/>
      <c r="AJ4" s="6751"/>
      <c r="AK4" s="1177" t="s">
        <v>654</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6764"/>
      <c r="F5" s="6764"/>
      <c r="G5" s="6764"/>
      <c r="H5" s="6764"/>
      <c r="I5" s="6761" t="e">
        <f>S4&amp;".1"</f>
        <v>#N/A</v>
      </c>
      <c r="J5" s="1279"/>
      <c r="K5" s="1279"/>
      <c r="L5" s="1280"/>
      <c r="P5" s="6762">
        <v>1</v>
      </c>
      <c r="Q5" s="1390"/>
      <c r="R5" s="281"/>
      <c r="S5" s="1402" t="e">
        <f>$I5</f>
        <v>#N/A</v>
      </c>
      <c r="T5" s="204" t="s">
        <v>608</v>
      </c>
      <c r="U5" s="219"/>
      <c r="V5" s="6824"/>
      <c r="W5" s="6825"/>
      <c r="X5" s="6825"/>
      <c r="Y5" s="6825"/>
      <c r="Z5" s="6825"/>
      <c r="AA5" s="6825"/>
      <c r="AB5" s="6826"/>
      <c r="AC5" s="6827"/>
      <c r="AD5" s="6828"/>
      <c r="AE5" s="6828"/>
      <c r="AF5" s="6828"/>
      <c r="AG5" s="6828"/>
      <c r="AH5" s="6828"/>
      <c r="AI5" s="6828"/>
      <c r="AJ5" s="6829"/>
      <c r="AK5" s="1177" t="s">
        <v>609</v>
      </c>
      <c r="AM5" s="426"/>
      <c r="AN5" s="426" t="str">
        <f t="shared" si="0"/>
        <v>Наименование признака дифференциации</v>
      </c>
      <c r="AO5" s="426"/>
      <c r="AP5" s="426"/>
    </row>
    <row r="6" spans="1:42" ht="23.25" hidden="1" customHeight="1">
      <c r="A6" s="1279"/>
      <c r="B6" s="1279"/>
      <c r="C6" s="1279"/>
      <c r="D6" s="1279"/>
      <c r="E6" s="6764"/>
      <c r="F6" s="6764"/>
      <c r="G6" s="6764"/>
      <c r="H6" s="6764"/>
      <c r="I6" s="6784"/>
      <c r="J6" s="6761" t="e">
        <f>I5&amp;".1"</f>
        <v>#N/A</v>
      </c>
      <c r="K6" s="1279"/>
      <c r="L6" s="1280" t="s">
        <v>526</v>
      </c>
      <c r="P6" s="6762"/>
      <c r="Q6" s="6762">
        <v>1</v>
      </c>
      <c r="R6" s="282"/>
      <c r="S6" s="1402" t="e">
        <f>$J6</f>
        <v>#N/A</v>
      </c>
      <c r="T6" s="205" t="s">
        <v>527</v>
      </c>
      <c r="U6" s="219"/>
      <c r="V6" s="6752"/>
      <c r="W6" s="6753"/>
      <c r="X6" s="6753"/>
      <c r="Y6" s="6753"/>
      <c r="Z6" s="6753"/>
      <c r="AA6" s="6753"/>
      <c r="AB6" s="6754"/>
      <c r="AC6" s="6752"/>
      <c r="AD6" s="6753"/>
      <c r="AE6" s="6753"/>
      <c r="AF6" s="6753"/>
      <c r="AG6" s="6753"/>
      <c r="AH6" s="6753"/>
      <c r="AI6" s="6753"/>
      <c r="AJ6" s="6754"/>
      <c r="AK6" s="1226" t="s">
        <v>610</v>
      </c>
      <c r="AM6" s="426"/>
      <c r="AN6" s="426" t="str">
        <f t="shared" si="0"/>
        <v>Группа потребителей</v>
      </c>
      <c r="AO6" s="426"/>
      <c r="AP6" s="426"/>
    </row>
    <row r="7" spans="1:42" ht="23.25" hidden="1" customHeight="1">
      <c r="A7" s="1279"/>
      <c r="B7" s="1279"/>
      <c r="C7" s="1279"/>
      <c r="D7" s="1279"/>
      <c r="E7" s="6764"/>
      <c r="F7" s="6764"/>
      <c r="G7" s="6764"/>
      <c r="H7" s="6764"/>
      <c r="I7" s="6784"/>
      <c r="J7" s="6784"/>
      <c r="K7" s="6761" t="e">
        <f>J6&amp;".1"</f>
        <v>#N/A</v>
      </c>
      <c r="L7" s="1280"/>
      <c r="P7" s="6762"/>
      <c r="Q7" s="6762"/>
      <c r="R7" s="282">
        <v>1</v>
      </c>
      <c r="S7" s="1402" t="e">
        <f>$K7</f>
        <v>#N/A</v>
      </c>
      <c r="T7" s="1351"/>
      <c r="U7" s="219"/>
      <c r="V7" s="668"/>
      <c r="W7" s="668"/>
      <c r="X7" s="1176"/>
      <c r="Y7" s="6766"/>
      <c r="Z7" s="6610" t="s">
        <v>61</v>
      </c>
      <c r="AA7" s="6766"/>
      <c r="AB7" s="6610" t="s">
        <v>61</v>
      </c>
      <c r="AC7" s="668"/>
      <c r="AD7" s="668"/>
      <c r="AE7" s="1176"/>
      <c r="AF7" s="6766"/>
      <c r="AG7" s="6610" t="s">
        <v>61</v>
      </c>
      <c r="AH7" s="6785"/>
      <c r="AI7" s="6610" t="s">
        <v>61</v>
      </c>
      <c r="AJ7" s="1352"/>
      <c r="AK7"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6764"/>
      <c r="F8" s="6764"/>
      <c r="G8" s="6764"/>
      <c r="H8" s="6764"/>
      <c r="I8" s="6784"/>
      <c r="J8" s="6784"/>
      <c r="K8" s="6761"/>
      <c r="L8" s="1280"/>
      <c r="P8" s="6762"/>
      <c r="Q8" s="6762"/>
      <c r="R8" s="282"/>
      <c r="S8" s="1399"/>
      <c r="T8" s="219"/>
      <c r="U8" s="219"/>
      <c r="V8" s="251"/>
      <c r="W8" s="251"/>
      <c r="X8" s="255" t="str">
        <f>Y7&amp;"-"&amp;AA7</f>
        <v>-</v>
      </c>
      <c r="Y8" s="6767"/>
      <c r="Z8" s="6610"/>
      <c r="AA8" s="6767"/>
      <c r="AB8" s="6610"/>
      <c r="AC8" s="251"/>
      <c r="AD8" s="251"/>
      <c r="AE8" s="255" t="str">
        <f>AF7&amp;"-"&amp;AH7</f>
        <v>-</v>
      </c>
      <c r="AF8" s="6767"/>
      <c r="AG8" s="6610"/>
      <c r="AH8" s="6786"/>
      <c r="AI8" s="6610"/>
      <c r="AJ8" s="1353"/>
      <c r="AK8" s="6823"/>
      <c r="AM8" s="426"/>
      <c r="AN8" s="426" t="str">
        <f t="shared" si="0"/>
        <v/>
      </c>
      <c r="AO8" s="426"/>
      <c r="AP8" s="426"/>
    </row>
    <row r="9" spans="1:42" ht="21" hidden="1" customHeight="1">
      <c r="A9" s="1279"/>
      <c r="B9" s="1279"/>
      <c r="C9" s="1279"/>
      <c r="D9" s="1279"/>
      <c r="E9" s="6764"/>
      <c r="F9" s="6764"/>
      <c r="G9" s="6764"/>
      <c r="H9" s="6764"/>
      <c r="I9" s="6784"/>
      <c r="J9" s="6761"/>
      <c r="K9" s="1279"/>
      <c r="L9" s="1280"/>
      <c r="P9" s="6762"/>
      <c r="Q9" s="6762"/>
      <c r="R9" s="281"/>
      <c r="S9" s="1198"/>
      <c r="T9" s="206" t="s">
        <v>611</v>
      </c>
      <c r="U9" s="295"/>
      <c r="V9" s="295"/>
      <c r="W9" s="295"/>
      <c r="X9" s="295"/>
      <c r="Y9" s="295"/>
      <c r="Z9" s="295"/>
      <c r="AA9" s="295"/>
      <c r="AB9" s="295"/>
      <c r="AC9" s="295"/>
      <c r="AD9" s="295"/>
      <c r="AE9" s="295"/>
      <c r="AF9" s="295"/>
      <c r="AG9" s="295"/>
      <c r="AH9" s="295"/>
      <c r="AI9" s="295"/>
      <c r="AJ9" s="295"/>
      <c r="AK9" s="1177" t="s">
        <v>612</v>
      </c>
      <c r="AM9" s="426"/>
      <c r="AN9" s="426" t="str">
        <f t="shared" si="0"/>
        <v>Добавить значение признака дифференциации</v>
      </c>
      <c r="AO9" s="426"/>
      <c r="AP9" s="426"/>
    </row>
    <row r="10" spans="1:42" ht="21" hidden="1" customHeight="1">
      <c r="A10" s="1279"/>
      <c r="B10" s="1279"/>
      <c r="C10" s="1279"/>
      <c r="D10" s="1279"/>
      <c r="E10" s="6764"/>
      <c r="F10" s="6764"/>
      <c r="G10" s="6764"/>
      <c r="H10" s="6764"/>
      <c r="I10" s="6761"/>
      <c r="J10" s="1279"/>
      <c r="K10" s="1279"/>
      <c r="L10" s="1280"/>
      <c r="P10" s="6762"/>
      <c r="Q10" s="1390"/>
      <c r="R10" s="281"/>
      <c r="S10" s="1198"/>
      <c r="T10" s="292" t="s">
        <v>532</v>
      </c>
      <c r="U10" s="295"/>
      <c r="V10" s="295"/>
      <c r="W10" s="295"/>
      <c r="X10" s="295"/>
      <c r="Y10" s="295"/>
      <c r="Z10" s="295"/>
      <c r="AA10" s="295"/>
      <c r="AB10" s="294"/>
      <c r="AC10" s="295"/>
      <c r="AD10" s="295"/>
      <c r="AE10" s="295"/>
      <c r="AF10" s="295"/>
      <c r="AG10" s="295"/>
      <c r="AH10" s="295"/>
      <c r="AI10" s="294"/>
      <c r="AJ10" s="295"/>
      <c r="AK10" s="1354"/>
      <c r="AM10" s="426"/>
      <c r="AN10" s="426" t="str">
        <f t="shared" si="0"/>
        <v>Добавить группу потребителей</v>
      </c>
      <c r="AO10" s="426"/>
      <c r="AP10" s="426"/>
    </row>
    <row r="11" spans="1:42" ht="21" hidden="1" customHeight="1">
      <c r="A11" s="1279"/>
      <c r="B11" s="1279"/>
      <c r="C11" s="1279"/>
      <c r="D11" s="1279"/>
      <c r="E11" s="6764"/>
      <c r="F11" s="6764"/>
      <c r="G11" s="6764"/>
      <c r="H11" s="6763"/>
      <c r="I11" s="1279"/>
      <c r="J11" s="1279"/>
      <c r="K11" s="1279"/>
      <c r="L11" s="1280"/>
      <c r="M11" s="1281"/>
      <c r="N11" s="1281"/>
      <c r="O11" s="462"/>
      <c r="P11" s="285"/>
      <c r="Q11" s="304"/>
      <c r="R11" s="280"/>
      <c r="S11" s="1198"/>
      <c r="T11" s="300" t="s">
        <v>613</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067" customFormat="1" ht="14.25" hidden="1" customHeight="1">
      <c r="A12" s="1260"/>
      <c r="B12" s="1260"/>
      <c r="C12" s="1232"/>
      <c r="D12" s="1232"/>
      <c r="E12" s="6764"/>
      <c r="F12" s="6763"/>
      <c r="G12" s="1232"/>
      <c r="H12" s="1232"/>
      <c r="I12" s="1232"/>
      <c r="J12" s="1232"/>
      <c r="K12" s="1232"/>
      <c r="L12" s="1403"/>
      <c r="M12" s="1239"/>
      <c r="N12" s="1239"/>
      <c r="P12" s="1234"/>
      <c r="Q12" s="1235"/>
      <c r="R12" s="1234"/>
      <c r="S12" s="1240"/>
      <c r="T12" s="1243" t="s">
        <v>229</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17" customFormat="1" ht="14.25" hidden="1" customHeight="1">
      <c r="A13" s="1260"/>
      <c r="B13" s="1260"/>
      <c r="C13" s="1260"/>
      <c r="D13" s="1260"/>
      <c r="E13" s="6763"/>
      <c r="F13" s="1260"/>
      <c r="G13" s="1260"/>
      <c r="H13" s="1260"/>
      <c r="I13" s="1260"/>
      <c r="J13" s="1260"/>
      <c r="K13" s="1260"/>
      <c r="L13" s="1263"/>
      <c r="M13" s="1239"/>
      <c r="N13" s="1239"/>
      <c r="O13" s="444"/>
      <c r="P13" s="313"/>
      <c r="Q13" s="1261"/>
      <c r="R13" s="313"/>
      <c r="S13" s="1240"/>
      <c r="T13" s="1243" t="s">
        <v>272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6768"/>
      <c r="AG15" s="6769" t="s">
        <v>61</v>
      </c>
      <c r="AH15" s="6768"/>
      <c r="AI15" s="6769" t="s">
        <v>61</v>
      </c>
    </row>
    <row r="16" spans="1:42" ht="14.25" hidden="1" customHeight="1">
      <c r="AC16" s="1276"/>
      <c r="AD16" s="1276"/>
      <c r="AE16" s="255" t="str">
        <f>AF15&amp;"-"&amp;AH15</f>
        <v>-</v>
      </c>
      <c r="AF16" s="6769"/>
      <c r="AG16" s="6769"/>
      <c r="AH16" s="6769"/>
      <c r="AI16" s="6769"/>
    </row>
    <row r="17" spans="1:42" ht="14.25" hidden="1" customHeight="1">
      <c r="AI17" s="254"/>
    </row>
    <row r="18" spans="1:42" s="1830" customFormat="1" ht="22.5" hidden="1" customHeight="1">
      <c r="L18" s="1387"/>
      <c r="M18" s="1278"/>
      <c r="N18" s="1278"/>
      <c r="O18" s="1283" t="s">
        <v>534</v>
      </c>
      <c r="P18" s="1278"/>
      <c r="Q18" s="1287"/>
      <c r="R18" s="1287"/>
      <c r="S18" s="648"/>
      <c r="Y18" s="1283"/>
      <c r="AA18" s="1283"/>
      <c r="AB18" s="1282"/>
      <c r="AF18" s="1283"/>
      <c r="AH18" s="1283"/>
      <c r="AI18" s="1282"/>
      <c r="AL18" s="437"/>
      <c r="AM18" s="437"/>
      <c r="AN18" s="437"/>
      <c r="AO18" s="437"/>
      <c r="AP18" s="437"/>
    </row>
    <row r="19" spans="1:42" s="1830" customFormat="1" ht="14.25" hidden="1" customHeight="1">
      <c r="L19" s="1387"/>
      <c r="M19" s="1278"/>
      <c r="N19" s="1278"/>
      <c r="O19" s="1278"/>
      <c r="P19" s="1278"/>
      <c r="Q19" s="1287"/>
      <c r="R19" s="1287"/>
      <c r="S19" s="648"/>
      <c r="AB19" s="1282"/>
      <c r="AI19" s="1282"/>
      <c r="AL19" s="437"/>
      <c r="AM19" s="437"/>
      <c r="AN19" s="437"/>
      <c r="AO19" s="437"/>
      <c r="AP19" s="437"/>
    </row>
    <row r="20" spans="1:42" s="1830" customFormat="1" ht="12" hidden="1" customHeight="1">
      <c r="L20" s="1387"/>
      <c r="M20" s="1278"/>
      <c r="N20" s="1278"/>
      <c r="O20" s="1280" t="s">
        <v>535</v>
      </c>
      <c r="P20" s="1278"/>
      <c r="Q20" s="1355"/>
      <c r="R20" s="1355"/>
      <c r="S20" s="648"/>
      <c r="T20" s="1060" t="s">
        <v>536</v>
      </c>
      <c r="Z20" s="107" t="s">
        <v>537</v>
      </c>
      <c r="AB20" s="107" t="s">
        <v>538</v>
      </c>
      <c r="AC20" s="1060" t="s">
        <v>536</v>
      </c>
      <c r="AG20" s="107" t="s">
        <v>539</v>
      </c>
      <c r="AI20" s="107" t="s">
        <v>538</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674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747"/>
      <c r="U24" s="6747"/>
      <c r="V24" s="6747"/>
      <c r="W24" s="6747"/>
      <c r="X24" s="6747"/>
      <c r="Y24" s="6747"/>
      <c r="Z24" s="6747"/>
      <c r="AA24" s="6747"/>
      <c r="AB24" s="6747"/>
      <c r="AC24" s="6747"/>
      <c r="AD24" s="6747"/>
      <c r="AE24" s="6747"/>
      <c r="AF24" s="6747"/>
      <c r="AG24" s="6747"/>
      <c r="AH24" s="6747"/>
      <c r="AI24" s="1152"/>
    </row>
    <row r="25" spans="1:42" ht="14.25" customHeight="1">
      <c r="Q25" s="305"/>
      <c r="R25" s="305"/>
      <c r="S25" s="6694" t="str">
        <f>IF(org=0,"Не определено",org)</f>
        <v>ООО "Марикоммунэнерго"</v>
      </c>
      <c r="T25" s="6694"/>
      <c r="U25" s="6694"/>
      <c r="V25" s="6694"/>
      <c r="W25" s="6694"/>
      <c r="X25" s="6694"/>
      <c r="Y25" s="6694"/>
      <c r="Z25" s="6694"/>
      <c r="AA25" s="6694"/>
      <c r="AB25" s="6694"/>
      <c r="AC25" s="6694"/>
      <c r="AD25" s="6694"/>
      <c r="AE25" s="6694"/>
      <c r="AF25" s="6694"/>
      <c r="AG25" s="6694"/>
      <c r="AH25" s="6694"/>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072" customFormat="1" ht="25.5" customHeight="1">
      <c r="A27" s="1284"/>
      <c r="B27" s="1284"/>
      <c r="C27" s="1284"/>
      <c r="D27" s="1284"/>
      <c r="E27" s="1284"/>
      <c r="F27" s="1284"/>
      <c r="G27" s="1284"/>
      <c r="H27" s="1284"/>
      <c r="I27" s="1284"/>
      <c r="J27" s="1284"/>
      <c r="K27" s="1284"/>
      <c r="L27" s="1285"/>
      <c r="M27" s="1284"/>
      <c r="N27" s="1284"/>
      <c r="O27" s="1284"/>
      <c r="S27" s="6755" t="s">
        <v>38</v>
      </c>
      <c r="T27" s="6755"/>
      <c r="U27" s="1288"/>
      <c r="V27" s="6756" t="str">
        <f>IF(TITLE_NAME_OR_PR_CHANGE="",IF(TITLE_NAME_OR_PR="","",TITLE_NAME_OR_PR),TITLE_NAME_OR_PR_CHANGE)</f>
        <v>Министерство промышленности, экономического развития и торговли Республики Марий Эл</v>
      </c>
      <c r="W27" s="6756"/>
      <c r="X27" s="6756"/>
      <c r="Y27" s="6756"/>
      <c r="Z27" s="6756"/>
      <c r="AA27" s="6756"/>
      <c r="AB27" s="253"/>
      <c r="AC27" s="6756" t="str">
        <f>IF(TITLE_NAME_OR_PR_CHANGE="",IF(TITLE_NAME_OR_PR="","",TITLE_NAME_OR_PR),TITLE_NAME_OR_PR_CHANGE)</f>
        <v>Министерство промышленности, экономического развития и торговли Республики Марий Эл</v>
      </c>
      <c r="AD27" s="6756"/>
      <c r="AE27" s="6756"/>
      <c r="AF27" s="6756"/>
      <c r="AG27" s="6756"/>
      <c r="AH27" s="6756"/>
      <c r="AI27" s="253"/>
      <c r="AJ27" s="253"/>
      <c r="AK27" s="200"/>
      <c r="AL27" s="296"/>
      <c r="AM27" s="296"/>
      <c r="AN27" s="296"/>
      <c r="AO27" s="296"/>
      <c r="AP27" s="296"/>
    </row>
    <row r="28" spans="1:42" s="2072" customFormat="1" ht="18.75" customHeight="1">
      <c r="A28" s="1284"/>
      <c r="B28" s="1284"/>
      <c r="C28" s="1284"/>
      <c r="D28" s="1284"/>
      <c r="E28" s="1284"/>
      <c r="F28" s="1284"/>
      <c r="G28" s="1284"/>
      <c r="H28" s="1284"/>
      <c r="I28" s="1284"/>
      <c r="J28" s="1284"/>
      <c r="K28" s="1284"/>
      <c r="L28" s="1285"/>
      <c r="M28" s="1284"/>
      <c r="N28" s="1284"/>
      <c r="O28" s="1284"/>
      <c r="S28" s="6755" t="s">
        <v>540</v>
      </c>
      <c r="T28" s="6755"/>
      <c r="U28" s="1288"/>
      <c r="V28" s="6765">
        <f>IF(TITLE_DATE_PR_CHANGE="",IF(TITLE_DATE_PR="","",TITLE_DATE_PR),TITLE_DATE_PR_CHANGE)</f>
        <v>45280.426180555558</v>
      </c>
      <c r="W28" s="6765"/>
      <c r="X28" s="6765"/>
      <c r="Y28" s="6765"/>
      <c r="Z28" s="6765"/>
      <c r="AA28" s="6765"/>
      <c r="AB28" s="253"/>
      <c r="AC28" s="6765">
        <f>IF(TITLE_DATE_PR_CHANGE="",IF(TITLE_DATE_PR="","",TITLE_DATE_PR),TITLE_DATE_PR_CHANGE)</f>
        <v>45280.426180555558</v>
      </c>
      <c r="AD28" s="6765"/>
      <c r="AE28" s="6765"/>
      <c r="AF28" s="6765"/>
      <c r="AG28" s="6765"/>
      <c r="AH28" s="6765"/>
      <c r="AI28" s="253"/>
      <c r="AJ28" s="253"/>
      <c r="AK28" s="200"/>
      <c r="AL28" s="296"/>
      <c r="AM28" s="296"/>
      <c r="AN28" s="296"/>
      <c r="AO28" s="296"/>
      <c r="AP28" s="296"/>
    </row>
    <row r="29" spans="1:42" s="2072" customFormat="1" ht="18.75" customHeight="1">
      <c r="A29" s="1284"/>
      <c r="B29" s="1284"/>
      <c r="C29" s="1284"/>
      <c r="D29" s="1284"/>
      <c r="E29" s="1284"/>
      <c r="F29" s="1284"/>
      <c r="G29" s="1284"/>
      <c r="H29" s="1284"/>
      <c r="I29" s="1284"/>
      <c r="J29" s="1284"/>
      <c r="K29" s="1284"/>
      <c r="L29" s="1285"/>
      <c r="M29" s="1284"/>
      <c r="N29" s="1284"/>
      <c r="O29" s="1284"/>
      <c r="S29" s="6755" t="s">
        <v>541</v>
      </c>
      <c r="T29" s="6755"/>
      <c r="U29" s="1288"/>
      <c r="V29" s="6756" t="str">
        <f>IF(TITLE_NUMBER_PR_CHANGE="",IF(TITLE_NUMBER_PR="","",TITLE_NUMBER_PR),TITLE_NUMBER_PR_CHANGE)</f>
        <v>124 т, 125 т, 126 т, 169 т</v>
      </c>
      <c r="W29" s="6756"/>
      <c r="X29" s="6756"/>
      <c r="Y29" s="6756"/>
      <c r="Z29" s="6756"/>
      <c r="AA29" s="6756"/>
      <c r="AB29" s="253"/>
      <c r="AC29" s="6756" t="str">
        <f>IF(TITLE_NUMBER_PR_CHANGE="",IF(TITLE_NUMBER_PR="","",TITLE_NUMBER_PR),TITLE_NUMBER_PR_CHANGE)</f>
        <v>124 т, 125 т, 126 т, 169 т</v>
      </c>
      <c r="AD29" s="6756"/>
      <c r="AE29" s="6756"/>
      <c r="AF29" s="6756"/>
      <c r="AG29" s="6756"/>
      <c r="AH29" s="6756"/>
      <c r="AI29" s="253"/>
      <c r="AJ29" s="253"/>
      <c r="AK29" s="200"/>
      <c r="AL29" s="296"/>
      <c r="AM29" s="296"/>
      <c r="AN29" s="296"/>
      <c r="AO29" s="296"/>
      <c r="AP29" s="296"/>
    </row>
    <row r="30" spans="1:42" s="2072" customFormat="1" ht="18.75" customHeight="1">
      <c r="A30" s="1284"/>
      <c r="B30" s="1284"/>
      <c r="C30" s="1284"/>
      <c r="D30" s="1284"/>
      <c r="E30" s="1284"/>
      <c r="F30" s="1284"/>
      <c r="G30" s="1284"/>
      <c r="H30" s="1284"/>
      <c r="I30" s="1284"/>
      <c r="J30" s="1284"/>
      <c r="K30" s="1284"/>
      <c r="L30" s="1285"/>
      <c r="M30" s="1284"/>
      <c r="N30" s="1284"/>
      <c r="O30" s="1284"/>
      <c r="S30" s="6755" t="s">
        <v>40</v>
      </c>
      <c r="T30" s="6755"/>
      <c r="U30" s="1288"/>
      <c r="V30" s="6756" t="str">
        <f>IF(TITLE_IST_PUB_CHANGE="",IF(TITLE_IST_PUB="","",TITLE_IST_PUB),TITLE_IST_PUB_CHANGE)</f>
        <v>портал Официальное опубликование нормативных правовых актов  Республики Марий Эл</v>
      </c>
      <c r="W30" s="6756"/>
      <c r="X30" s="6756"/>
      <c r="Y30" s="6756"/>
      <c r="Z30" s="6756"/>
      <c r="AA30" s="6756"/>
      <c r="AB30" s="253"/>
      <c r="AC30" s="6756" t="str">
        <f>IF(TITLE_IST_PUB_CHANGE="",IF(TITLE_IST_PUB="","",TITLE_IST_PUB),TITLE_IST_PUB_CHANGE)</f>
        <v>портал Официальное опубликование нормативных правовых актов  Республики Марий Эл</v>
      </c>
      <c r="AD30" s="6756"/>
      <c r="AE30" s="6756"/>
      <c r="AF30" s="6756"/>
      <c r="AG30" s="6756"/>
      <c r="AH30" s="6756"/>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072" customFormat="1" ht="18.75" customHeight="1">
      <c r="A32" s="1284"/>
      <c r="B32" s="1284"/>
      <c r="C32" s="1284"/>
      <c r="D32" s="1284"/>
      <c r="E32" s="1284"/>
      <c r="F32" s="1284"/>
      <c r="G32" s="1284"/>
      <c r="H32" s="1284"/>
      <c r="I32" s="1284"/>
      <c r="J32" s="1284"/>
      <c r="K32" s="1284"/>
      <c r="L32" s="1285"/>
      <c r="M32" s="1284"/>
      <c r="N32" s="1284"/>
      <c r="O32" s="1284"/>
      <c r="S32" s="6755" t="s">
        <v>542</v>
      </c>
      <c r="T32" s="6755"/>
      <c r="U32" s="1288"/>
      <c r="V32" s="6765">
        <f>IF(TITLE_DATE_PR_CHANGE="",IF(TITLE_DATE_PR="","",TITLE_DATE_PR),TITLE_DATE_PR_CHANGE)</f>
        <v>45280.426180555558</v>
      </c>
      <c r="W32" s="6765"/>
      <c r="X32" s="6765"/>
      <c r="Y32" s="6765"/>
      <c r="Z32" s="6765"/>
      <c r="AA32" s="6765"/>
      <c r="AB32" s="253"/>
      <c r="AC32" s="6765">
        <f>IF(TITLE_DATE_PR_CHANGE="",IF(TITLE_DATE_PR="","",TITLE_DATE_PR),TITLE_DATE_PR_CHANGE)</f>
        <v>45280.426180555558</v>
      </c>
      <c r="AD32" s="6765"/>
      <c r="AE32" s="6765"/>
      <c r="AF32" s="6765"/>
      <c r="AG32" s="6765"/>
      <c r="AH32" s="6765"/>
      <c r="AI32" s="253"/>
      <c r="AJ32" s="253"/>
      <c r="AK32" s="200"/>
      <c r="AL32" s="296"/>
      <c r="AM32" s="296"/>
      <c r="AN32" s="296"/>
      <c r="AO32" s="296"/>
      <c r="AP32" s="296"/>
    </row>
    <row r="33" spans="1:42" s="2072" customFormat="1" ht="18.75" customHeight="1">
      <c r="A33" s="1284"/>
      <c r="B33" s="1284"/>
      <c r="C33" s="1284"/>
      <c r="D33" s="1284"/>
      <c r="E33" s="1284"/>
      <c r="F33" s="1284"/>
      <c r="G33" s="1284"/>
      <c r="H33" s="1284"/>
      <c r="I33" s="1284"/>
      <c r="J33" s="1284"/>
      <c r="K33" s="1284"/>
      <c r="L33" s="1285"/>
      <c r="M33" s="1284"/>
      <c r="N33" s="1284"/>
      <c r="O33" s="1284"/>
      <c r="S33" s="6755" t="s">
        <v>543</v>
      </c>
      <c r="T33" s="6755"/>
      <c r="U33" s="1288"/>
      <c r="V33" s="6756" t="str">
        <f>IF(TITLE_NUMBER_PR_CHANGE="",IF(TITLE_NUMBER_PR="","",TITLE_NUMBER_PR),TITLE_NUMBER_PR_CHANGE)</f>
        <v>124 т, 125 т, 126 т, 169 т</v>
      </c>
      <c r="W33" s="6756"/>
      <c r="X33" s="6756"/>
      <c r="Y33" s="6756"/>
      <c r="Z33" s="6756"/>
      <c r="AA33" s="6756"/>
      <c r="AB33" s="253"/>
      <c r="AC33" s="6756" t="str">
        <f>IF(TITLE_NUMBER_PR_CHANGE="",IF(TITLE_NUMBER_PR="","",TITLE_NUMBER_PR),TITLE_NUMBER_PR_CHANGE)</f>
        <v>124 т, 125 т, 126 т, 169 т</v>
      </c>
      <c r="AD33" s="6756"/>
      <c r="AE33" s="6756"/>
      <c r="AF33" s="6756"/>
      <c r="AG33" s="6756"/>
      <c r="AH33" s="6756"/>
      <c r="AI33" s="253"/>
      <c r="AJ33" s="253"/>
      <c r="AK33" s="200"/>
      <c r="AL33" s="296"/>
      <c r="AM33" s="296"/>
      <c r="AN33" s="296"/>
      <c r="AO33" s="296"/>
      <c r="AP33" s="296"/>
    </row>
    <row r="34" spans="1:42" s="2072" customFormat="1" ht="0.75" customHeight="1">
      <c r="A34" s="1284"/>
      <c r="B34" s="1284"/>
      <c r="C34" s="1284"/>
      <c r="D34" s="1284"/>
      <c r="E34" s="1284"/>
      <c r="F34" s="1284"/>
      <c r="G34" s="1284"/>
      <c r="H34" s="1284"/>
      <c r="I34" s="1284"/>
      <c r="J34" s="1284"/>
      <c r="K34" s="1284"/>
      <c r="L34" s="1285"/>
      <c r="M34" s="1284"/>
      <c r="N34" s="1284"/>
      <c r="O34" s="1284"/>
      <c r="S34" s="249"/>
      <c r="T34" s="249"/>
      <c r="U34" s="1397"/>
      <c r="V34" s="253"/>
      <c r="W34" s="253"/>
      <c r="X34" s="253"/>
      <c r="Y34" s="253"/>
      <c r="Z34" s="253"/>
      <c r="AA34" s="253"/>
      <c r="AB34" s="198" t="s">
        <v>544</v>
      </c>
      <c r="AC34" s="253"/>
      <c r="AD34" s="253"/>
      <c r="AE34" s="253"/>
      <c r="AF34" s="253"/>
      <c r="AG34" s="253"/>
      <c r="AH34" s="253"/>
      <c r="AI34" s="198" t="s">
        <v>544</v>
      </c>
      <c r="AL34" s="296"/>
      <c r="AM34" s="296"/>
      <c r="AN34" s="296"/>
      <c r="AO34" s="296"/>
      <c r="AP34" s="296"/>
    </row>
    <row r="35" spans="1:42" ht="14.25" customHeight="1">
      <c r="Q35" s="305"/>
      <c r="R35" s="305"/>
      <c r="S35" s="1195"/>
      <c r="T35" s="290"/>
      <c r="U35" s="1153"/>
      <c r="V35" s="6757"/>
      <c r="W35" s="6757"/>
      <c r="X35" s="6757"/>
      <c r="Y35" s="6757"/>
      <c r="Z35" s="6757"/>
      <c r="AA35" s="6757"/>
      <c r="AB35" s="6757"/>
      <c r="AC35" s="6757"/>
      <c r="AD35" s="6757"/>
      <c r="AE35" s="6757"/>
      <c r="AF35" s="6757"/>
      <c r="AG35" s="6757"/>
      <c r="AH35" s="6757"/>
      <c r="AI35" s="6757"/>
    </row>
    <row r="36" spans="1:42" ht="14.25" customHeight="1">
      <c r="Q36" s="305"/>
      <c r="R36" s="305"/>
      <c r="S36" s="6629" t="s">
        <v>418</v>
      </c>
      <c r="T36" s="6629"/>
      <c r="U36" s="6629"/>
      <c r="V36" s="6629"/>
      <c r="W36" s="6629"/>
      <c r="X36" s="6629"/>
      <c r="Y36" s="6629"/>
      <c r="Z36" s="6629"/>
      <c r="AA36" s="6629"/>
      <c r="AB36" s="6629"/>
      <c r="AC36" s="6629"/>
      <c r="AD36" s="6629"/>
      <c r="AE36" s="6629"/>
      <c r="AF36" s="6629"/>
      <c r="AG36" s="6629"/>
      <c r="AH36" s="6629"/>
      <c r="AI36" s="6629"/>
      <c r="AJ36" s="6629"/>
      <c r="AK36" s="6629" t="s">
        <v>419</v>
      </c>
    </row>
    <row r="37" spans="1:42" ht="14.25" customHeight="1">
      <c r="Q37" s="305"/>
      <c r="R37" s="305"/>
      <c r="S37" s="6771" t="s">
        <v>87</v>
      </c>
      <c r="T37" s="6723" t="s">
        <v>545</v>
      </c>
      <c r="U37" s="220"/>
      <c r="V37" s="6772" t="s">
        <v>546</v>
      </c>
      <c r="W37" s="6773"/>
      <c r="X37" s="6773"/>
      <c r="Y37" s="6773"/>
      <c r="Z37" s="6773"/>
      <c r="AA37" s="6774"/>
      <c r="AB37" s="6775" t="s">
        <v>547</v>
      </c>
      <c r="AC37" s="6772" t="s">
        <v>546</v>
      </c>
      <c r="AD37" s="6773"/>
      <c r="AE37" s="6773"/>
      <c r="AF37" s="6773"/>
      <c r="AG37" s="6773"/>
      <c r="AH37" s="6774"/>
      <c r="AI37" s="6775" t="s">
        <v>548</v>
      </c>
      <c r="AJ37" s="6778" t="s">
        <v>549</v>
      </c>
      <c r="AK37" s="6629"/>
    </row>
    <row r="38" spans="1:42" ht="33.75" customHeight="1">
      <c r="Q38" s="305"/>
      <c r="R38" s="305"/>
      <c r="S38" s="6771"/>
      <c r="T38" s="6723"/>
      <c r="U38" s="938"/>
      <c r="V38" s="1392" t="s">
        <v>655</v>
      </c>
      <c r="W38" s="6600" t="s">
        <v>656</v>
      </c>
      <c r="X38" s="6599"/>
      <c r="Y38" s="6600" t="s">
        <v>553</v>
      </c>
      <c r="Z38" s="6605"/>
      <c r="AA38" s="6599"/>
      <c r="AB38" s="6776"/>
      <c r="AC38" s="1392" t="s">
        <v>655</v>
      </c>
      <c r="AD38" s="6600" t="s">
        <v>656</v>
      </c>
      <c r="AE38" s="6599"/>
      <c r="AF38" s="6600" t="s">
        <v>553</v>
      </c>
      <c r="AG38" s="6605"/>
      <c r="AH38" s="6599"/>
      <c r="AI38" s="6776"/>
      <c r="AJ38" s="6779"/>
      <c r="AK38" s="6629"/>
    </row>
    <row r="39" spans="1:42" ht="86.25" customHeight="1">
      <c r="A39" s="1286"/>
      <c r="B39" s="1286" t="s">
        <v>201</v>
      </c>
      <c r="C39" s="1286" t="s">
        <v>202</v>
      </c>
      <c r="D39" s="1286" t="s">
        <v>203</v>
      </c>
      <c r="E39" s="1280" t="s">
        <v>554</v>
      </c>
      <c r="F39" s="1280" t="s">
        <v>555</v>
      </c>
      <c r="G39" s="1280" t="s">
        <v>556</v>
      </c>
      <c r="H39" s="1280"/>
      <c r="I39" s="1280" t="s">
        <v>615</v>
      </c>
      <c r="J39" s="1280" t="s">
        <v>559</v>
      </c>
      <c r="K39" s="1280" t="s">
        <v>616</v>
      </c>
      <c r="L39" s="1280" t="s">
        <v>535</v>
      </c>
      <c r="Q39" s="305"/>
      <c r="R39" s="305"/>
      <c r="S39" s="6771"/>
      <c r="T39" s="6723"/>
      <c r="U39" s="221"/>
      <c r="V39" s="1392" t="s">
        <v>657</v>
      </c>
      <c r="W39" s="1128" t="s">
        <v>658</v>
      </c>
      <c r="X39" s="1128" t="s">
        <v>659</v>
      </c>
      <c r="Y39" s="1398" t="s">
        <v>563</v>
      </c>
      <c r="Z39" s="6731" t="s">
        <v>564</v>
      </c>
      <c r="AA39" s="6733"/>
      <c r="AB39" s="6777"/>
      <c r="AC39" s="1392" t="s">
        <v>657</v>
      </c>
      <c r="AD39" s="1128" t="s">
        <v>658</v>
      </c>
      <c r="AE39" s="1128" t="s">
        <v>659</v>
      </c>
      <c r="AF39" s="1398" t="s">
        <v>563</v>
      </c>
      <c r="AG39" s="6731" t="s">
        <v>564</v>
      </c>
      <c r="AH39" s="6733"/>
      <c r="AI39" s="6777"/>
      <c r="AJ39" s="6780"/>
      <c r="AK39" s="6629"/>
    </row>
    <row r="40" spans="1:42" s="1816"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178</v>
      </c>
      <c r="T40" s="1172" t="s">
        <v>98</v>
      </c>
      <c r="U40" s="1154" t="str">
        <f ca="1">OFFSET(U40,0,-1)</f>
        <v>2</v>
      </c>
      <c r="V40" s="1391">
        <f ca="1">OFFSET(V40,0,-1)+1</f>
        <v>3</v>
      </c>
      <c r="W40" s="1391">
        <f ca="1">OFFSET(W40,0,-1)+1</f>
        <v>4</v>
      </c>
      <c r="X40" s="1391">
        <f ca="1">OFFSET(X40,0,-1)+1</f>
        <v>5</v>
      </c>
      <c r="Y40" s="1391">
        <f ca="1">OFFSET(Y40,0,-1)+1</f>
        <v>6</v>
      </c>
      <c r="Z40" s="6770">
        <f ca="1">OFFSET(Z40,0,-1)+1</f>
        <v>7</v>
      </c>
      <c r="AA40" s="6770"/>
      <c r="AB40" s="1391">
        <f ca="1">OFFSET(AB40,0,-2)+1</f>
        <v>8</v>
      </c>
      <c r="AC40" s="1391">
        <f ca="1">OFFSET(AC40,0,-1)+1</f>
        <v>9</v>
      </c>
      <c r="AD40" s="1391">
        <f ca="1">OFFSET(AD40,0,-1)+1</f>
        <v>10</v>
      </c>
      <c r="AE40" s="1391">
        <f ca="1">OFFSET(AE40,0,-1)+1</f>
        <v>11</v>
      </c>
      <c r="AF40" s="1391">
        <f ca="1">OFFSET(AF40,0,-1)+1</f>
        <v>12</v>
      </c>
      <c r="AG40" s="6770">
        <f ca="1">OFFSET(AG40,0,-1)+1</f>
        <v>13</v>
      </c>
      <c r="AH40" s="6770"/>
      <c r="AI40" s="1391">
        <f ca="1">OFFSET(AI40,0,-2)+1</f>
        <v>14</v>
      </c>
      <c r="AJ40" s="1154">
        <f ca="1">OFFSET(AJ40,0,-1)</f>
        <v>14</v>
      </c>
      <c r="AK40" s="1391">
        <f ca="1">OFFSET(AK40,0,-1)+1</f>
        <v>15</v>
      </c>
      <c r="AL40" s="437"/>
      <c r="AM40" s="437"/>
      <c r="AN40" s="437"/>
      <c r="AO40" s="437"/>
      <c r="AP40" s="437"/>
    </row>
    <row r="41" spans="1:42" ht="23.25" customHeight="1">
      <c r="A41" s="1279" t="s">
        <v>369</v>
      </c>
      <c r="B41" s="1279"/>
      <c r="C41" s="1279"/>
      <c r="D41" s="1279"/>
      <c r="E41" s="6763">
        <v>1</v>
      </c>
      <c r="F41" s="1279"/>
      <c r="G41" s="1279"/>
      <c r="H41" s="1279"/>
      <c r="I41" s="1279"/>
      <c r="J41" s="1279"/>
      <c r="K41" s="1279"/>
      <c r="L41" s="1280"/>
      <c r="M41" s="1281"/>
      <c r="N41" s="1281"/>
      <c r="O41" s="1281"/>
      <c r="P41" s="286"/>
      <c r="Q41" s="285"/>
      <c r="R41" s="280"/>
      <c r="S41" s="1402">
        <f>INDEX(PT_DIFFERENTIATION_NUM_NTAR,MATCH(A41,PT_DIFFERENTIATION_NTAR_ID,0))</f>
        <v>0</v>
      </c>
      <c r="T41" s="217" t="s">
        <v>189</v>
      </c>
      <c r="U41" s="219"/>
      <c r="V41" s="6749"/>
      <c r="W41" s="6750"/>
      <c r="X41" s="6750"/>
      <c r="Y41" s="6750"/>
      <c r="Z41" s="6750"/>
      <c r="AA41" s="6750"/>
      <c r="AB41" s="6751"/>
      <c r="AC41" s="6749" t="str">
        <f>INDEX(PT_DIFFERENTIATION_NTAR,MATCH(A41,PT_DIFFERENTIATION_NTAR_ID,0))</f>
        <v/>
      </c>
      <c r="AD41" s="6750"/>
      <c r="AE41" s="6750"/>
      <c r="AF41" s="6750"/>
      <c r="AG41" s="6750"/>
      <c r="AH41" s="6750"/>
      <c r="AI41" s="6750"/>
      <c r="AJ41" s="675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369</v>
      </c>
      <c r="B42" s="1279" t="s">
        <v>370</v>
      </c>
      <c r="C42" s="1279"/>
      <c r="D42" s="1279"/>
      <c r="E42" s="6764"/>
      <c r="F42" s="6763">
        <v>1</v>
      </c>
      <c r="G42" s="1279"/>
      <c r="H42" s="1279"/>
      <c r="I42" s="1279"/>
      <c r="J42" s="1279"/>
      <c r="K42" s="1279"/>
      <c r="L42" s="1280"/>
      <c r="M42" s="1281"/>
      <c r="N42" s="1281"/>
      <c r="O42" s="1281"/>
      <c r="P42" s="1396"/>
      <c r="Q42" s="277"/>
      <c r="R42" s="278"/>
      <c r="S42" s="1402" t="str">
        <f>INDEX(PT_DIFFERENTIATION_NUM_TER,MATCH(B42,PT_DIFFERENTIATION_TER_ID,0))</f>
        <v>.</v>
      </c>
      <c r="T42" s="229" t="s">
        <v>517</v>
      </c>
      <c r="U42" s="219"/>
      <c r="V42" s="6749"/>
      <c r="W42" s="6750"/>
      <c r="X42" s="6750"/>
      <c r="Y42" s="6750"/>
      <c r="Z42" s="6750"/>
      <c r="AA42" s="6750"/>
      <c r="AB42" s="6751"/>
      <c r="AC42" s="6749" t="str">
        <f>INDEX(PT_DIFFERENTIATION_TER,MATCH(B42,PT_DIFFERENTIATION_TER_ID,0))</f>
        <v/>
      </c>
      <c r="AD42" s="6750"/>
      <c r="AE42" s="6750"/>
      <c r="AF42" s="6750"/>
      <c r="AG42" s="6750"/>
      <c r="AH42" s="6750"/>
      <c r="AI42" s="6750"/>
      <c r="AJ42" s="6751"/>
      <c r="AK42" s="1177" t="s">
        <v>518</v>
      </c>
      <c r="AM42" s="426"/>
      <c r="AN42" s="426" t="str">
        <f t="shared" si="1"/>
        <v>Территория действия тарифа</v>
      </c>
      <c r="AO42" s="426"/>
      <c r="AP42" s="426"/>
    </row>
    <row r="43" spans="1:42" ht="23.25" customHeight="1">
      <c r="A43" s="1279" t="s">
        <v>369</v>
      </c>
      <c r="B43" s="1279" t="s">
        <v>370</v>
      </c>
      <c r="C43" s="1279" t="s">
        <v>371</v>
      </c>
      <c r="D43" s="1279"/>
      <c r="E43" s="6764"/>
      <c r="F43" s="6764"/>
      <c r="G43" s="6763">
        <v>1</v>
      </c>
      <c r="H43" s="1279"/>
      <c r="I43" s="1279"/>
      <c r="J43" s="1279"/>
      <c r="K43" s="1279"/>
      <c r="L43" s="1280"/>
      <c r="M43" s="1281"/>
      <c r="N43" s="1281"/>
      <c r="O43" s="1281"/>
      <c r="P43" s="279"/>
      <c r="Q43" s="277"/>
      <c r="R43" s="278"/>
      <c r="S43" s="1402" t="str">
        <f>INDEX(PT_DIFFERENTIATION_NUM_CS,MATCH(C43,PT_DIFFERENTIATION_CS_ID,0))</f>
        <v>..</v>
      </c>
      <c r="T43" s="230" t="s">
        <v>653</v>
      </c>
      <c r="U43" s="219"/>
      <c r="V43" s="6749"/>
      <c r="W43" s="6750"/>
      <c r="X43" s="6750"/>
      <c r="Y43" s="6750"/>
      <c r="Z43" s="6750"/>
      <c r="AA43" s="6750"/>
      <c r="AB43" s="6751"/>
      <c r="AC43" s="6749" t="str">
        <f>INDEX(PT_DIFFERENTIATION_CS,MATCH(C43,PT_DIFFERENTIATION_CS_ID,0))</f>
        <v/>
      </c>
      <c r="AD43" s="6750"/>
      <c r="AE43" s="6750"/>
      <c r="AF43" s="6750"/>
      <c r="AG43" s="6750"/>
      <c r="AH43" s="6750"/>
      <c r="AI43" s="6750"/>
      <c r="AJ43" s="6751"/>
      <c r="AK43" s="1177" t="s">
        <v>654</v>
      </c>
      <c r="AM43" s="426"/>
      <c r="AN43" s="426" t="str">
        <f t="shared" si="1"/>
        <v>Наименование централизованной системы горячего водоснабжения</v>
      </c>
      <c r="AO43" s="426"/>
      <c r="AP43" s="426"/>
    </row>
    <row r="44" spans="1:42" ht="23.25" customHeight="1">
      <c r="A44" s="1279" t="s">
        <v>369</v>
      </c>
      <c r="B44" s="1279" t="s">
        <v>370</v>
      </c>
      <c r="C44" s="1279" t="s">
        <v>371</v>
      </c>
      <c r="D44" s="1279" t="s">
        <v>660</v>
      </c>
      <c r="E44" s="6764"/>
      <c r="F44" s="6764"/>
      <c r="G44" s="6764"/>
      <c r="H44" s="6764"/>
      <c r="I44" s="6761" t="str">
        <f>S43&amp;".1"</f>
        <v>...1</v>
      </c>
      <c r="J44" s="1279"/>
      <c r="K44" s="1279"/>
      <c r="L44" s="1280"/>
      <c r="P44" s="6762">
        <v>1</v>
      </c>
      <c r="Q44" s="1390"/>
      <c r="R44" s="281"/>
      <c r="S44" s="1402" t="str">
        <f>$I44</f>
        <v>...1</v>
      </c>
      <c r="T44" s="204" t="s">
        <v>608</v>
      </c>
      <c r="U44" s="219"/>
      <c r="V44" s="6824"/>
      <c r="W44" s="6825"/>
      <c r="X44" s="6825"/>
      <c r="Y44" s="6825"/>
      <c r="Z44" s="6825"/>
      <c r="AA44" s="6825"/>
      <c r="AB44" s="6826"/>
      <c r="AC44" s="6827"/>
      <c r="AD44" s="6828"/>
      <c r="AE44" s="6828"/>
      <c r="AF44" s="6828"/>
      <c r="AG44" s="6828"/>
      <c r="AH44" s="6828"/>
      <c r="AI44" s="6828"/>
      <c r="AJ44" s="6829"/>
      <c r="AK44" s="1177" t="s">
        <v>609</v>
      </c>
      <c r="AM44" s="426"/>
      <c r="AN44" s="426" t="str">
        <f t="shared" si="1"/>
        <v>Наименование признака дифференциации</v>
      </c>
      <c r="AO44" s="426"/>
      <c r="AP44" s="426"/>
    </row>
    <row r="45" spans="1:42" ht="23.25" customHeight="1">
      <c r="A45" s="1279" t="s">
        <v>369</v>
      </c>
      <c r="B45" s="1279" t="s">
        <v>370</v>
      </c>
      <c r="C45" s="1279" t="s">
        <v>371</v>
      </c>
      <c r="D45" s="1279" t="s">
        <v>660</v>
      </c>
      <c r="E45" s="6764"/>
      <c r="F45" s="6764"/>
      <c r="G45" s="6764"/>
      <c r="H45" s="6764"/>
      <c r="I45" s="6784"/>
      <c r="J45" s="6761" t="str">
        <f>I44&amp;".1"</f>
        <v>...1.1</v>
      </c>
      <c r="K45" s="1279"/>
      <c r="L45" s="1280" t="s">
        <v>526</v>
      </c>
      <c r="P45" s="6762"/>
      <c r="Q45" s="6762">
        <v>1</v>
      </c>
      <c r="R45" s="282"/>
      <c r="S45" s="1402" t="str">
        <f>$J45</f>
        <v>...1.1</v>
      </c>
      <c r="T45" s="205" t="s">
        <v>527</v>
      </c>
      <c r="U45" s="219"/>
      <c r="V45" s="6752"/>
      <c r="W45" s="6753"/>
      <c r="X45" s="6753"/>
      <c r="Y45" s="6753"/>
      <c r="Z45" s="6753"/>
      <c r="AA45" s="6753"/>
      <c r="AB45" s="6754"/>
      <c r="AC45" s="6752"/>
      <c r="AD45" s="6753"/>
      <c r="AE45" s="6753"/>
      <c r="AF45" s="6753"/>
      <c r="AG45" s="6753"/>
      <c r="AH45" s="6753"/>
      <c r="AI45" s="6753"/>
      <c r="AJ45" s="6754"/>
      <c r="AK45" s="1226" t="s">
        <v>610</v>
      </c>
      <c r="AM45" s="426"/>
      <c r="AN45" s="426" t="str">
        <f t="shared" si="1"/>
        <v>Группа потребителей</v>
      </c>
      <c r="AO45" s="426"/>
      <c r="AP45" s="426"/>
    </row>
    <row r="46" spans="1:42" ht="23.25" customHeight="1">
      <c r="A46" s="1279" t="s">
        <v>369</v>
      </c>
      <c r="B46" s="1279" t="s">
        <v>370</v>
      </c>
      <c r="C46" s="1279" t="s">
        <v>371</v>
      </c>
      <c r="D46" s="1279" t="s">
        <v>660</v>
      </c>
      <c r="E46" s="6764"/>
      <c r="F46" s="6764"/>
      <c r="G46" s="6764"/>
      <c r="H46" s="6764"/>
      <c r="I46" s="6784"/>
      <c r="J46" s="6784"/>
      <c r="K46" s="6761" t="str">
        <f>J45&amp;".1"</f>
        <v>...1.1.1</v>
      </c>
      <c r="L46" s="1280"/>
      <c r="P46" s="6762"/>
      <c r="Q46" s="6762"/>
      <c r="R46" s="282">
        <v>1</v>
      </c>
      <c r="S46" s="1402" t="str">
        <f>$K46</f>
        <v>...1.1.1</v>
      </c>
      <c r="T46" s="1351"/>
      <c r="U46" s="219"/>
      <c r="V46" s="1276"/>
      <c r="W46" s="1276"/>
      <c r="X46" s="1277"/>
      <c r="Y46" s="6768"/>
      <c r="Z46" s="6769" t="s">
        <v>61</v>
      </c>
      <c r="AA46" s="6768"/>
      <c r="AB46" s="6769" t="s">
        <v>61</v>
      </c>
      <c r="AC46" s="668"/>
      <c r="AD46" s="668"/>
      <c r="AE46" s="1176"/>
      <c r="AF46" s="6766"/>
      <c r="AG46" s="6610" t="s">
        <v>61</v>
      </c>
      <c r="AH46" s="6785"/>
      <c r="AI46" s="6610" t="s">
        <v>56</v>
      </c>
      <c r="AJ46" s="1352"/>
      <c r="AK46" s="68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369</v>
      </c>
      <c r="B47" s="1279" t="s">
        <v>370</v>
      </c>
      <c r="C47" s="1279" t="s">
        <v>371</v>
      </c>
      <c r="D47" s="1279" t="s">
        <v>660</v>
      </c>
      <c r="E47" s="6764"/>
      <c r="F47" s="6764"/>
      <c r="G47" s="6764"/>
      <c r="H47" s="6764"/>
      <c r="I47" s="6784"/>
      <c r="J47" s="6784"/>
      <c r="K47" s="6761"/>
      <c r="L47" s="1280"/>
      <c r="P47" s="6762"/>
      <c r="Q47" s="6762"/>
      <c r="R47" s="282"/>
      <c r="S47" s="1399"/>
      <c r="T47" s="219"/>
      <c r="U47" s="219"/>
      <c r="V47" s="1276"/>
      <c r="W47" s="1276"/>
      <c r="X47" s="255" t="str">
        <f>Y46&amp;"-"&amp;AA46</f>
        <v>-</v>
      </c>
      <c r="Y47" s="6769"/>
      <c r="Z47" s="6769"/>
      <c r="AA47" s="6769"/>
      <c r="AB47" s="6769"/>
      <c r="AC47" s="251"/>
      <c r="AD47" s="251"/>
      <c r="AE47" s="255" t="str">
        <f>AF46&amp;"-"&amp;AH46</f>
        <v>-</v>
      </c>
      <c r="AF47" s="6767"/>
      <c r="AG47" s="6610"/>
      <c r="AH47" s="6786"/>
      <c r="AI47" s="6610"/>
      <c r="AJ47" s="1353"/>
      <c r="AK47" s="6823"/>
      <c r="AM47" s="426"/>
      <c r="AN47" s="426" t="str">
        <f t="shared" si="1"/>
        <v/>
      </c>
      <c r="AO47" s="426"/>
      <c r="AP47" s="426"/>
    </row>
    <row r="48" spans="1:42" ht="21" customHeight="1">
      <c r="A48" s="1279" t="s">
        <v>369</v>
      </c>
      <c r="B48" s="1279" t="s">
        <v>370</v>
      </c>
      <c r="C48" s="1279" t="s">
        <v>371</v>
      </c>
      <c r="D48" s="1279" t="s">
        <v>660</v>
      </c>
      <c r="E48" s="6764"/>
      <c r="F48" s="6764"/>
      <c r="G48" s="6764"/>
      <c r="H48" s="6764"/>
      <c r="I48" s="6784"/>
      <c r="J48" s="6761"/>
      <c r="K48" s="1279"/>
      <c r="L48" s="1280"/>
      <c r="P48" s="6762"/>
      <c r="Q48" s="6762"/>
      <c r="R48" s="281"/>
      <c r="S48" s="1198"/>
      <c r="T48" s="206" t="s">
        <v>611</v>
      </c>
      <c r="U48" s="295"/>
      <c r="V48" s="295"/>
      <c r="W48" s="295"/>
      <c r="X48" s="295"/>
      <c r="Y48" s="295"/>
      <c r="Z48" s="295"/>
      <c r="AA48" s="295"/>
      <c r="AB48" s="295"/>
      <c r="AC48" s="295"/>
      <c r="AD48" s="295"/>
      <c r="AE48" s="295"/>
      <c r="AF48" s="295"/>
      <c r="AG48" s="295"/>
      <c r="AH48" s="295"/>
      <c r="AI48" s="295"/>
      <c r="AJ48" s="295"/>
      <c r="AK48" s="1177" t="s">
        <v>612</v>
      </c>
      <c r="AM48" s="426"/>
      <c r="AN48" s="426" t="str">
        <f t="shared" si="1"/>
        <v>Добавить значение признака дифференциации</v>
      </c>
      <c r="AO48" s="426"/>
      <c r="AP48" s="426"/>
    </row>
    <row r="49" spans="1:42" ht="21" customHeight="1">
      <c r="A49" s="1279" t="s">
        <v>369</v>
      </c>
      <c r="B49" s="1279" t="s">
        <v>370</v>
      </c>
      <c r="C49" s="1279" t="s">
        <v>371</v>
      </c>
      <c r="D49" s="1279" t="s">
        <v>660</v>
      </c>
      <c r="E49" s="6764"/>
      <c r="F49" s="6764"/>
      <c r="G49" s="6764"/>
      <c r="H49" s="6764"/>
      <c r="I49" s="6761"/>
      <c r="J49" s="1279"/>
      <c r="K49" s="1279"/>
      <c r="L49" s="1280"/>
      <c r="P49" s="6762"/>
      <c r="Q49" s="1390"/>
      <c r="R49" s="281"/>
      <c r="S49" s="1198"/>
      <c r="T49" s="292" t="s">
        <v>532</v>
      </c>
      <c r="U49" s="295"/>
      <c r="V49" s="295"/>
      <c r="W49" s="295"/>
      <c r="X49" s="295"/>
      <c r="Y49" s="295"/>
      <c r="Z49" s="295"/>
      <c r="AA49" s="295"/>
      <c r="AB49" s="294"/>
      <c r="AC49" s="295"/>
      <c r="AD49" s="295"/>
      <c r="AE49" s="295"/>
      <c r="AF49" s="295"/>
      <c r="AG49" s="295"/>
      <c r="AH49" s="295"/>
      <c r="AI49" s="294"/>
      <c r="AJ49" s="295"/>
      <c r="AK49" s="1354"/>
      <c r="AM49" s="426"/>
      <c r="AN49" s="426" t="str">
        <f t="shared" si="1"/>
        <v>Добавить группу потребителей</v>
      </c>
      <c r="AO49" s="426"/>
      <c r="AP49" s="426"/>
    </row>
    <row r="50" spans="1:42" ht="21" customHeight="1">
      <c r="A50" s="1279" t="s">
        <v>369</v>
      </c>
      <c r="B50" s="1279" t="s">
        <v>370</v>
      </c>
      <c r="C50" s="1279" t="s">
        <v>371</v>
      </c>
      <c r="D50" s="1279" t="s">
        <v>660</v>
      </c>
      <c r="E50" s="6764"/>
      <c r="F50" s="6764"/>
      <c r="G50" s="6764"/>
      <c r="H50" s="6763"/>
      <c r="I50" s="1279"/>
      <c r="J50" s="1279"/>
      <c r="K50" s="1279"/>
      <c r="L50" s="1280"/>
      <c r="M50" s="1281"/>
      <c r="N50" s="1281"/>
      <c r="O50" s="462"/>
      <c r="P50" s="285"/>
      <c r="Q50" s="304"/>
      <c r="R50" s="280"/>
      <c r="S50" s="1198"/>
      <c r="T50" s="300" t="s">
        <v>613</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067" customFormat="1" ht="0" hidden="1" customHeight="1">
      <c r="A51" s="1260" t="s">
        <v>369</v>
      </c>
      <c r="B51" s="1260" t="s">
        <v>370</v>
      </c>
      <c r="C51" s="1232"/>
      <c r="D51" s="1232"/>
      <c r="E51" s="6764"/>
      <c r="F51" s="6763"/>
      <c r="G51" s="1232"/>
      <c r="H51" s="1232"/>
      <c r="I51" s="1232"/>
      <c r="J51" s="1232"/>
      <c r="K51" s="1232"/>
      <c r="L51" s="1403"/>
      <c r="M51" s="1239"/>
      <c r="N51" s="1239"/>
      <c r="P51" s="1234"/>
      <c r="Q51" s="1235"/>
      <c r="R51" s="1234"/>
      <c r="S51" s="1240"/>
      <c r="T51" s="1243" t="s">
        <v>229</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17" customFormat="1" ht="0" hidden="1" customHeight="1">
      <c r="A52" s="1260" t="s">
        <v>369</v>
      </c>
      <c r="B52" s="1260"/>
      <c r="C52" s="1260"/>
      <c r="D52" s="1260"/>
      <c r="E52" s="6763"/>
      <c r="F52" s="1260"/>
      <c r="G52" s="1260"/>
      <c r="H52" s="1260"/>
      <c r="I52" s="1260"/>
      <c r="J52" s="1260"/>
      <c r="K52" s="1260"/>
      <c r="L52" s="1263"/>
      <c r="M52" s="1239"/>
      <c r="N52" s="1239"/>
      <c r="O52" s="444"/>
      <c r="P52" s="313"/>
      <c r="Q52" s="1261"/>
      <c r="R52" s="313"/>
      <c r="S52" s="1240"/>
      <c r="T52" s="1243" t="s">
        <v>272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067" customFormat="1" ht="0" hidden="1" customHeight="1">
      <c r="A53" s="1232"/>
      <c r="B53" s="1232"/>
      <c r="C53" s="1232"/>
      <c r="D53" s="1232"/>
      <c r="E53" s="1260"/>
      <c r="F53" s="1232"/>
      <c r="G53" s="1232"/>
      <c r="H53" s="1232"/>
      <c r="I53" s="1232"/>
      <c r="J53" s="1232"/>
      <c r="K53" s="1232"/>
      <c r="L53" s="1403"/>
      <c r="M53" s="1239"/>
      <c r="N53" s="1239"/>
      <c r="P53" s="1234"/>
      <c r="Q53" s="1235"/>
      <c r="R53" s="1234"/>
      <c r="S53" s="1240"/>
      <c r="T53" s="1243" t="s">
        <v>273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6783"/>
      <c r="U55" s="6783"/>
      <c r="V55" s="6783"/>
      <c r="W55" s="6783"/>
      <c r="X55" s="6783"/>
      <c r="Y55" s="6783"/>
      <c r="Z55" s="6783"/>
      <c r="AA55" s="6783"/>
      <c r="AB55" s="6783"/>
      <c r="AC55" s="6783"/>
      <c r="AD55" s="6783"/>
      <c r="AE55" s="6783"/>
      <c r="AF55" s="6783"/>
      <c r="AG55" s="6783"/>
      <c r="AH55" s="6783"/>
      <c r="AI55" s="6783"/>
      <c r="AJ55" s="6783"/>
      <c r="AK55" s="6783"/>
    </row>
    <row r="56" spans="1:42" ht="14.25" customHeight="1">
      <c r="O56" s="462"/>
    </row>
    <row r="57" spans="1:42" ht="14.25" customHeight="1">
      <c r="O57" s="462"/>
      <c r="S57" s="1164"/>
      <c r="T57" s="6783"/>
      <c r="U57" s="6783"/>
      <c r="V57" s="6783"/>
      <c r="W57" s="6783"/>
      <c r="X57" s="6783"/>
      <c r="Y57" s="6783"/>
      <c r="Z57" s="6783"/>
      <c r="AA57" s="6783"/>
      <c r="AB57" s="6783"/>
      <c r="AC57" s="6783"/>
      <c r="AD57" s="6783"/>
      <c r="AE57" s="6783"/>
      <c r="AF57" s="6783"/>
      <c r="AG57" s="6783"/>
      <c r="AH57" s="6783"/>
      <c r="AI57" s="6783"/>
      <c r="AJ57" s="6783"/>
      <c r="AK57" s="678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0" hidden="1" customWidth="1"/>
    <col min="2" max="2" width="11" style="1830" hidden="1" customWidth="1"/>
    <col min="3" max="3" width="10.5703125" style="1830" hidden="1"/>
    <col min="4" max="4" width="12.85546875" style="1830" hidden="1" customWidth="1"/>
    <col min="5" max="5" width="10" style="1830" hidden="1" customWidth="1"/>
    <col min="6" max="6" width="8.7109375" style="1830" hidden="1" customWidth="1"/>
    <col min="7" max="7" width="7.5703125" style="1830" hidden="1" customWidth="1"/>
    <col min="8" max="8" width="11.42578125" style="1830" hidden="1" customWidth="1"/>
    <col min="9" max="9" width="12" style="1830" hidden="1" customWidth="1"/>
    <col min="10" max="10" width="9.85546875" style="1830" hidden="1" customWidth="1"/>
    <col min="11" max="11" width="11.42578125" style="1830" hidden="1" customWidth="1"/>
    <col min="12" max="12" width="19.140625" style="6499" hidden="1" customWidth="1"/>
    <col min="13" max="14" width="12.28515625" style="2069" hidden="1" customWidth="1"/>
    <col min="15" max="15" width="23.42578125" style="2069" hidden="1" customWidth="1"/>
    <col min="16" max="16" width="3.7109375" style="2069" hidden="1" customWidth="1"/>
    <col min="17" max="17" width="3.7109375" style="2070" hidden="1" customWidth="1"/>
    <col min="18" max="18" width="3.7109375" style="2075" customWidth="1"/>
    <col min="19" max="19" width="12.7109375" style="2076" customWidth="1"/>
    <col min="20" max="20" width="32" style="2042" customWidth="1"/>
    <col min="21" max="21" width="0.140625" style="2042" customWidth="1"/>
    <col min="22" max="25" width="21.7109375" style="2042" hidden="1" customWidth="1"/>
    <col min="26" max="26" width="11.7109375" style="2042" hidden="1" customWidth="1"/>
    <col min="27" max="27" width="3.7109375" style="2042" hidden="1" customWidth="1"/>
    <col min="28" max="28" width="11.7109375" style="2042" hidden="1" customWidth="1"/>
    <col min="29" max="29" width="8.5703125" style="2042" hidden="1" customWidth="1"/>
    <col min="30" max="32" width="3.7109375" style="2042" customWidth="1"/>
    <col min="33" max="33" width="24.7109375" style="2042" customWidth="1"/>
    <col min="34" max="36" width="3.7109375" style="2042" customWidth="1"/>
    <col min="37" max="37" width="24.7109375" style="2042" customWidth="1"/>
    <col min="38" max="40" width="3.7109375" style="2042" customWidth="1"/>
    <col min="41" max="41" width="18.85546875" style="2042" customWidth="1"/>
    <col min="42" max="44" width="3.7109375" style="2042" customWidth="1"/>
    <col min="45" max="45" width="18.85546875" style="2042" customWidth="1"/>
    <col min="46" max="49" width="21.7109375" style="2042" customWidth="1"/>
    <col min="50" max="50" width="11.7109375" style="2042" customWidth="1"/>
    <col min="51" max="51" width="3.7109375" style="2042" customWidth="1"/>
    <col min="52" max="52" width="11.7109375" style="2042" customWidth="1"/>
    <col min="53" max="53" width="8.5703125" style="2042" hidden="1" customWidth="1"/>
    <col min="54" max="54" width="4.7109375" style="2042" customWidth="1"/>
    <col min="55" max="55" width="115.7109375" style="2042" customWidth="1"/>
    <col min="56" max="57" width="10.5703125" style="1817"/>
    <col min="58" max="58" width="11.140625" style="1817" customWidth="1"/>
    <col min="59" max="60" width="10.5703125" style="1817"/>
  </cols>
  <sheetData>
    <row r="1" spans="1:60" ht="14.25" hidden="1" customHeight="1">
      <c r="W1" s="254"/>
      <c r="Y1" s="254"/>
      <c r="Z1" s="254"/>
      <c r="AW1" s="254"/>
      <c r="AX1" s="254"/>
    </row>
    <row r="2" spans="1:60" ht="21" hidden="1" customHeight="1">
      <c r="A2" s="1279"/>
      <c r="B2" s="1279"/>
      <c r="C2" s="1279"/>
      <c r="D2" s="1279"/>
      <c r="E2" s="6763">
        <v>1</v>
      </c>
      <c r="F2" s="1279"/>
      <c r="G2" s="1279"/>
      <c r="H2" s="1279"/>
      <c r="I2" s="1279"/>
      <c r="J2" s="1279"/>
      <c r="K2" s="1279"/>
      <c r="L2" s="1280"/>
      <c r="M2" s="1281"/>
      <c r="N2" s="1281"/>
      <c r="O2" s="1281"/>
      <c r="P2" s="1324"/>
      <c r="Q2" s="786"/>
      <c r="R2" s="280"/>
      <c r="S2" s="1402" t="e">
        <f>INDEX(PT_DIFFERENTIATION_NUM_NTAR,MATCH(A2,PT_DIFFERENTIATION_NTAR_ID,0))</f>
        <v>#N/A</v>
      </c>
      <c r="T2" s="217" t="s">
        <v>189</v>
      </c>
      <c r="U2" s="219"/>
      <c r="V2" s="6750"/>
      <c r="W2" s="6750"/>
      <c r="X2" s="6750"/>
      <c r="Y2" s="6750"/>
      <c r="Z2" s="6750"/>
      <c r="AA2" s="6750"/>
      <c r="AB2" s="6750"/>
      <c r="AC2" s="6751"/>
      <c r="AD2" s="6749" t="e">
        <f>INDEX(PT_DIFFERENTIATION_NTAR,MATCH(A2,PT_DIFFERENTIATION_NTAR_ID,0))</f>
        <v>#N/A</v>
      </c>
      <c r="AE2" s="6750"/>
      <c r="AF2" s="6750"/>
      <c r="AG2" s="6750"/>
      <c r="AH2" s="6750"/>
      <c r="AI2" s="6750"/>
      <c r="AJ2" s="6750"/>
      <c r="AK2" s="6750"/>
      <c r="AL2" s="6750"/>
      <c r="AM2" s="6750"/>
      <c r="AN2" s="6750"/>
      <c r="AO2" s="6750"/>
      <c r="AP2" s="6750"/>
      <c r="AQ2" s="6750"/>
      <c r="AR2" s="6750"/>
      <c r="AS2" s="6750"/>
      <c r="AT2" s="6750"/>
      <c r="AU2" s="6750"/>
      <c r="AV2" s="6750"/>
      <c r="AW2" s="6750"/>
      <c r="AX2" s="6750"/>
      <c r="AY2" s="6750"/>
      <c r="AZ2" s="6750"/>
      <c r="BA2" s="6750"/>
      <c r="BB2" s="675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6764"/>
      <c r="F3" s="6763">
        <v>1</v>
      </c>
      <c r="G3" s="1279"/>
      <c r="H3" s="1279"/>
      <c r="I3" s="1279"/>
      <c r="J3" s="1279"/>
      <c r="K3" s="1279"/>
      <c r="L3" s="1280"/>
      <c r="M3" s="1281"/>
      <c r="N3" s="1281"/>
      <c r="O3" s="1281"/>
      <c r="P3" s="1325"/>
      <c r="Q3" s="1326"/>
      <c r="R3" s="278"/>
      <c r="S3" s="1402" t="e">
        <f>INDEX(PT_DIFFERENTIATION_NUM_TER,MATCH(B3,PT_DIFFERENTIATION_TER_ID,0))</f>
        <v>#N/A</v>
      </c>
      <c r="T3" s="229" t="s">
        <v>517</v>
      </c>
      <c r="U3" s="219"/>
      <c r="V3" s="6750"/>
      <c r="W3" s="6750"/>
      <c r="X3" s="6750"/>
      <c r="Y3" s="6750"/>
      <c r="Z3" s="6750"/>
      <c r="AA3" s="6750"/>
      <c r="AB3" s="6750"/>
      <c r="AC3" s="6751"/>
      <c r="AD3" s="6749" t="e">
        <f>INDEX(PT_DIFFERENTIATION_TER,MATCH(B3,PT_DIFFERENTIATION_TER_ID,0))</f>
        <v>#N/A</v>
      </c>
      <c r="AE3" s="6750"/>
      <c r="AF3" s="6750"/>
      <c r="AG3" s="6750"/>
      <c r="AH3" s="6750"/>
      <c r="AI3" s="6750"/>
      <c r="AJ3" s="6750"/>
      <c r="AK3" s="6750"/>
      <c r="AL3" s="6750"/>
      <c r="AM3" s="6750"/>
      <c r="AN3" s="6750"/>
      <c r="AO3" s="6750"/>
      <c r="AP3" s="6750"/>
      <c r="AQ3" s="6750"/>
      <c r="AR3" s="6750"/>
      <c r="AS3" s="6750"/>
      <c r="AT3" s="6750"/>
      <c r="AU3" s="6750"/>
      <c r="AV3" s="6750"/>
      <c r="AW3" s="6750"/>
      <c r="AX3" s="6750"/>
      <c r="AY3" s="6750"/>
      <c r="AZ3" s="6750"/>
      <c r="BA3" s="6750"/>
      <c r="BB3" s="6751"/>
      <c r="BC3" s="1177" t="s">
        <v>518</v>
      </c>
      <c r="BE3" s="426"/>
      <c r="BF3" s="426" t="str">
        <f t="shared" si="0"/>
        <v>Территория действия тарифа</v>
      </c>
      <c r="BG3" s="426"/>
      <c r="BH3" s="426"/>
    </row>
    <row r="4" spans="1:60" ht="33.75" hidden="1" customHeight="1">
      <c r="A4" s="1279"/>
      <c r="B4" s="1279"/>
      <c r="C4" s="1279"/>
      <c r="D4" s="1279"/>
      <c r="E4" s="6764"/>
      <c r="F4" s="6764"/>
      <c r="G4" s="6763">
        <v>1</v>
      </c>
      <c r="H4" s="1279"/>
      <c r="I4" s="1279"/>
      <c r="J4" s="1279"/>
      <c r="K4" s="1279"/>
      <c r="L4" s="1280"/>
      <c r="M4" s="1281"/>
      <c r="N4" s="1281"/>
      <c r="O4" s="1281"/>
      <c r="P4" s="1327"/>
      <c r="Q4" s="1326"/>
      <c r="R4" s="278"/>
      <c r="S4" s="1402" t="e">
        <f>INDEX(PT_DIFFERENTIATION_NUM_CS,MATCH(C4,PT_DIFFERENTIATION_CS_ID,0))</f>
        <v>#N/A</v>
      </c>
      <c r="T4" s="230" t="s">
        <v>653</v>
      </c>
      <c r="U4" s="219"/>
      <c r="V4" s="6750"/>
      <c r="W4" s="6750"/>
      <c r="X4" s="6750"/>
      <c r="Y4" s="6750"/>
      <c r="Z4" s="6750"/>
      <c r="AA4" s="6750"/>
      <c r="AB4" s="6750"/>
      <c r="AC4" s="6751"/>
      <c r="AD4" s="6749" t="e">
        <f>INDEX(PT_DIFFERENTIATION_CS,MATCH(C4,PT_DIFFERENTIATION_CS_ID,0))</f>
        <v>#N/A</v>
      </c>
      <c r="AE4" s="6750"/>
      <c r="AF4" s="6750"/>
      <c r="AG4" s="6750"/>
      <c r="AH4" s="6750"/>
      <c r="AI4" s="6750"/>
      <c r="AJ4" s="6750"/>
      <c r="AK4" s="6750"/>
      <c r="AL4" s="6750"/>
      <c r="AM4" s="6750"/>
      <c r="AN4" s="6750"/>
      <c r="AO4" s="6750"/>
      <c r="AP4" s="6750"/>
      <c r="AQ4" s="6750"/>
      <c r="AR4" s="6750"/>
      <c r="AS4" s="6750"/>
      <c r="AT4" s="6750"/>
      <c r="AU4" s="6750"/>
      <c r="AV4" s="6750"/>
      <c r="AW4" s="6750"/>
      <c r="AX4" s="6750"/>
      <c r="AY4" s="6750"/>
      <c r="AZ4" s="6750"/>
      <c r="BA4" s="6750"/>
      <c r="BB4" s="6751"/>
      <c r="BC4" s="1177" t="s">
        <v>654</v>
      </c>
      <c r="BE4" s="426"/>
      <c r="BF4" s="426" t="str">
        <f t="shared" si="0"/>
        <v>Наименование централизованной системы горячего водоснабжения</v>
      </c>
      <c r="BG4" s="426"/>
      <c r="BH4" s="426"/>
    </row>
    <row r="5" spans="1:60" s="1817" customFormat="1" ht="14.25" hidden="1" customHeight="1">
      <c r="A5" s="1260"/>
      <c r="B5" s="1260"/>
      <c r="C5" s="1260"/>
      <c r="D5" s="1260"/>
      <c r="E5" s="6764"/>
      <c r="F5" s="6764"/>
      <c r="G5" s="6764"/>
      <c r="H5" s="6763">
        <v>1</v>
      </c>
      <c r="I5" s="1260"/>
      <c r="J5" s="1260"/>
      <c r="K5" s="1260"/>
      <c r="L5" s="1263"/>
      <c r="M5" s="1233"/>
      <c r="N5" s="1233"/>
      <c r="O5" s="1233"/>
      <c r="P5" s="1406"/>
      <c r="Q5" s="1407"/>
      <c r="R5" s="282"/>
      <c r="S5" s="949"/>
      <c r="T5" s="1408"/>
      <c r="U5" s="1300"/>
      <c r="V5" s="6791"/>
      <c r="W5" s="6791"/>
      <c r="X5" s="6791"/>
      <c r="Y5" s="6791"/>
      <c r="Z5" s="6791"/>
      <c r="AA5" s="6791"/>
      <c r="AB5" s="6791"/>
      <c r="AC5" s="6792"/>
      <c r="AD5" s="6790"/>
      <c r="AE5" s="6791"/>
      <c r="AF5" s="6791"/>
      <c r="AG5" s="6791"/>
      <c r="AH5" s="6791"/>
      <c r="AI5" s="6791"/>
      <c r="AJ5" s="6791"/>
      <c r="AK5" s="6791"/>
      <c r="AL5" s="6791"/>
      <c r="AM5" s="6791"/>
      <c r="AN5" s="6791"/>
      <c r="AO5" s="6791"/>
      <c r="AP5" s="6791"/>
      <c r="AQ5" s="6791"/>
      <c r="AR5" s="6791"/>
      <c r="AS5" s="6791"/>
      <c r="AT5" s="6791"/>
      <c r="AU5" s="6791"/>
      <c r="AV5" s="6791"/>
      <c r="AW5" s="6791"/>
      <c r="AX5" s="6791"/>
      <c r="AY5" s="6791"/>
      <c r="AZ5" s="6791"/>
      <c r="BA5" s="6791"/>
      <c r="BB5" s="6792"/>
      <c r="BC5" s="1301" t="s">
        <v>522</v>
      </c>
      <c r="BE5" s="426"/>
      <c r="BF5" s="426" t="str">
        <f t="shared" si="0"/>
        <v/>
      </c>
      <c r="BG5" s="426"/>
      <c r="BH5" s="426"/>
    </row>
    <row r="6" spans="1:60" s="1817" customFormat="1" ht="14.25" hidden="1" customHeight="1">
      <c r="A6" s="1260"/>
      <c r="B6" s="1260"/>
      <c r="C6" s="1260"/>
      <c r="D6" s="1260"/>
      <c r="E6" s="6764"/>
      <c r="F6" s="6764"/>
      <c r="G6" s="6764"/>
      <c r="H6" s="6764"/>
      <c r="I6" s="6761" t="str">
        <f>S5&amp;".1"</f>
        <v>.1</v>
      </c>
      <c r="J6" s="1260"/>
      <c r="K6" s="1260"/>
      <c r="L6" s="1263" t="s">
        <v>523</v>
      </c>
      <c r="M6" s="436"/>
      <c r="N6" s="436"/>
      <c r="O6" s="436"/>
      <c r="P6" s="6762">
        <v>1</v>
      </c>
      <c r="Q6" s="1390"/>
      <c r="R6" s="281"/>
      <c r="S6" s="949"/>
      <c r="T6" s="1299"/>
      <c r="U6" s="1300"/>
      <c r="V6" s="6791"/>
      <c r="W6" s="6791"/>
      <c r="X6" s="6791"/>
      <c r="Y6" s="6791"/>
      <c r="Z6" s="6791"/>
      <c r="AA6" s="6791"/>
      <c r="AB6" s="6791"/>
      <c r="AC6" s="6792"/>
      <c r="AD6" s="6790"/>
      <c r="AE6" s="6791"/>
      <c r="AF6" s="6791"/>
      <c r="AG6" s="6791"/>
      <c r="AH6" s="6791"/>
      <c r="AI6" s="6791"/>
      <c r="AJ6" s="6791"/>
      <c r="AK6" s="6791"/>
      <c r="AL6" s="6791"/>
      <c r="AM6" s="6791"/>
      <c r="AN6" s="6791"/>
      <c r="AO6" s="6791"/>
      <c r="AP6" s="6791"/>
      <c r="AQ6" s="6791"/>
      <c r="AR6" s="6791"/>
      <c r="AS6" s="6791"/>
      <c r="AT6" s="6791"/>
      <c r="AU6" s="6791"/>
      <c r="AV6" s="6791"/>
      <c r="AW6" s="6791"/>
      <c r="AX6" s="6791"/>
      <c r="AY6" s="6791"/>
      <c r="AZ6" s="6791"/>
      <c r="BA6" s="6791"/>
      <c r="BB6" s="6792"/>
      <c r="BC6" s="1301"/>
      <c r="BE6" s="426"/>
      <c r="BF6" s="426" t="str">
        <f t="shared" si="0"/>
        <v/>
      </c>
      <c r="BG6" s="426"/>
      <c r="BH6" s="426"/>
    </row>
    <row r="7" spans="1:60" s="1817" customFormat="1" ht="14.25" hidden="1" customHeight="1">
      <c r="A7" s="1260"/>
      <c r="B7" s="1260"/>
      <c r="C7" s="1260"/>
      <c r="D7" s="1260"/>
      <c r="E7" s="6764"/>
      <c r="F7" s="6764"/>
      <c r="G7" s="6764"/>
      <c r="H7" s="6764"/>
      <c r="I7" s="6784"/>
      <c r="J7" s="6761" t="str">
        <f>S5&amp;".1"</f>
        <v>.1</v>
      </c>
      <c r="K7" s="1260"/>
      <c r="L7" s="1263"/>
      <c r="M7" s="436"/>
      <c r="N7" s="436"/>
      <c r="O7" s="436"/>
      <c r="P7" s="6762"/>
      <c r="Q7" s="6762">
        <v>1</v>
      </c>
      <c r="R7" s="282"/>
      <c r="S7" s="949"/>
      <c r="T7" s="1315"/>
      <c r="U7" s="1300"/>
      <c r="V7" s="6791"/>
      <c r="W7" s="6791"/>
      <c r="X7" s="6791"/>
      <c r="Y7" s="6791"/>
      <c r="Z7" s="6791"/>
      <c r="AA7" s="6791"/>
      <c r="AB7" s="6791"/>
      <c r="AC7" s="6792"/>
      <c r="AD7" s="6790"/>
      <c r="AE7" s="6791"/>
      <c r="AF7" s="6791"/>
      <c r="AG7" s="6791"/>
      <c r="AH7" s="6791"/>
      <c r="AI7" s="6791"/>
      <c r="AJ7" s="6791"/>
      <c r="AK7" s="6791"/>
      <c r="AL7" s="6791"/>
      <c r="AM7" s="6791"/>
      <c r="AN7" s="6791"/>
      <c r="AO7" s="6791"/>
      <c r="AP7" s="6791"/>
      <c r="AQ7" s="6791"/>
      <c r="AR7" s="6791"/>
      <c r="AS7" s="6791"/>
      <c r="AT7" s="6791"/>
      <c r="AU7" s="6791"/>
      <c r="AV7" s="6791"/>
      <c r="AW7" s="6791"/>
      <c r="AX7" s="6791"/>
      <c r="AY7" s="6791"/>
      <c r="AZ7" s="6791"/>
      <c r="BA7" s="6791"/>
      <c r="BB7" s="6792"/>
      <c r="BC7" s="1301"/>
      <c r="BE7" s="426"/>
      <c r="BF7" s="426" t="str">
        <f t="shared" si="0"/>
        <v/>
      </c>
      <c r="BG7" s="426"/>
      <c r="BH7" s="426"/>
    </row>
    <row r="8" spans="1:60" ht="11.25" hidden="1" customHeight="1">
      <c r="A8" s="1279"/>
      <c r="B8" s="1279"/>
      <c r="C8" s="1279"/>
      <c r="D8" s="1279"/>
      <c r="E8" s="6764"/>
      <c r="F8" s="6764"/>
      <c r="G8" s="6764"/>
      <c r="H8" s="6764"/>
      <c r="I8" s="6784"/>
      <c r="J8" s="6784"/>
      <c r="K8" s="6761" t="e">
        <f>S4&amp;".1"</f>
        <v>#N/A</v>
      </c>
      <c r="L8" s="1280"/>
      <c r="P8" s="6762"/>
      <c r="Q8" s="6762"/>
      <c r="R8" s="6819">
        <v>1</v>
      </c>
      <c r="S8" s="6813" t="e">
        <f>$K8</f>
        <v>#N/A</v>
      </c>
      <c r="T8" s="6833"/>
      <c r="U8" s="219"/>
      <c r="V8" s="668"/>
      <c r="W8" s="1176"/>
      <c r="X8" s="668"/>
      <c r="Y8" s="1176"/>
      <c r="Z8" s="1643"/>
      <c r="AA8" s="1379" t="s">
        <v>61</v>
      </c>
      <c r="AB8" s="1643"/>
      <c r="AC8" s="1379" t="s">
        <v>61</v>
      </c>
      <c r="AD8" s="6688" t="s">
        <v>61</v>
      </c>
      <c r="AE8" s="6799"/>
      <c r="AF8" s="6718">
        <v>1</v>
      </c>
      <c r="AG8" s="6836"/>
      <c r="AH8" s="6610" t="s">
        <v>61</v>
      </c>
      <c r="AI8" s="6799"/>
      <c r="AJ8" s="6718">
        <v>1</v>
      </c>
      <c r="AK8" s="6820" t="s">
        <v>24</v>
      </c>
      <c r="AL8" s="6610" t="s">
        <v>61</v>
      </c>
      <c r="AM8" s="6708"/>
      <c r="AN8" s="6718">
        <v>1</v>
      </c>
      <c r="AO8" s="6830"/>
      <c r="AP8" s="6831" t="s">
        <v>61</v>
      </c>
      <c r="AQ8" s="232"/>
      <c r="AR8" s="1395">
        <v>1</v>
      </c>
      <c r="AS8" s="1401" t="s">
        <v>24</v>
      </c>
      <c r="AT8" s="668"/>
      <c r="AU8" s="1176"/>
      <c r="AV8" s="668"/>
      <c r="AW8" s="1176"/>
      <c r="AX8" s="1643"/>
      <c r="AY8" s="1379" t="s">
        <v>61</v>
      </c>
      <c r="AZ8" s="1643"/>
      <c r="BA8" s="1379" t="s">
        <v>61</v>
      </c>
      <c r="BB8" s="1265"/>
      <c r="BC8" s="6758" t="s">
        <v>624</v>
      </c>
      <c r="BE8" s="426"/>
      <c r="BF8" s="426" t="str">
        <f t="shared" si="0"/>
        <v/>
      </c>
      <c r="BG8" s="426"/>
      <c r="BH8" s="426"/>
    </row>
    <row r="9" spans="1:60" ht="11.25" hidden="1" customHeight="1">
      <c r="A9" s="1279"/>
      <c r="B9" s="1279"/>
      <c r="C9" s="1279"/>
      <c r="D9" s="1279"/>
      <c r="E9" s="6764"/>
      <c r="F9" s="6764"/>
      <c r="G9" s="6764"/>
      <c r="H9" s="6764"/>
      <c r="I9" s="6784"/>
      <c r="J9" s="6784"/>
      <c r="K9" s="6761"/>
      <c r="L9" s="1280"/>
      <c r="P9" s="6762"/>
      <c r="Q9" s="6762"/>
      <c r="R9" s="6819"/>
      <c r="S9" s="6814"/>
      <c r="T9" s="6834"/>
      <c r="U9" s="219"/>
      <c r="V9" s="1309"/>
      <c r="W9" s="1405"/>
      <c r="X9" s="1309"/>
      <c r="Y9" s="1405"/>
      <c r="Z9" s="1309"/>
      <c r="AA9" s="1309"/>
      <c r="AB9" s="1309"/>
      <c r="AC9" s="1309"/>
      <c r="AD9" s="6689"/>
      <c r="AE9" s="6799"/>
      <c r="AF9" s="6718"/>
      <c r="AG9" s="6836"/>
      <c r="AH9" s="6610"/>
      <c r="AI9" s="6799"/>
      <c r="AJ9" s="6718"/>
      <c r="AK9" s="6820"/>
      <c r="AL9" s="6610"/>
      <c r="AM9" s="6713"/>
      <c r="AN9" s="6718"/>
      <c r="AO9" s="6830"/>
      <c r="AP9" s="6832"/>
      <c r="AQ9" s="239"/>
      <c r="AR9" s="350"/>
      <c r="AS9" s="350" t="s">
        <v>625</v>
      </c>
      <c r="AT9" s="1309"/>
      <c r="AU9" s="1405"/>
      <c r="AV9" s="1309"/>
      <c r="AW9" s="1405"/>
      <c r="AX9" s="1309"/>
      <c r="AY9" s="1309"/>
      <c r="AZ9" s="1309"/>
      <c r="BA9" s="1309"/>
      <c r="BB9" s="1313"/>
      <c r="BC9" s="6759"/>
      <c r="BE9" s="426"/>
      <c r="BF9" s="426"/>
      <c r="BG9" s="426"/>
      <c r="BH9" s="426"/>
    </row>
    <row r="10" spans="1:60" ht="11.25" hidden="1" customHeight="1">
      <c r="A10" s="1279"/>
      <c r="B10" s="1279"/>
      <c r="C10" s="1279"/>
      <c r="D10" s="1279"/>
      <c r="E10" s="6764"/>
      <c r="F10" s="6764"/>
      <c r="G10" s="6764"/>
      <c r="H10" s="6764"/>
      <c r="I10" s="6784"/>
      <c r="J10" s="6784"/>
      <c r="K10" s="6761"/>
      <c r="L10" s="1280"/>
      <c r="P10" s="6762"/>
      <c r="Q10" s="6762"/>
      <c r="R10" s="6819"/>
      <c r="S10" s="6814"/>
      <c r="T10" s="6834"/>
      <c r="U10" s="219"/>
      <c r="V10" s="1309"/>
      <c r="W10" s="1405"/>
      <c r="X10" s="1309"/>
      <c r="Y10" s="1405"/>
      <c r="Z10" s="1309"/>
      <c r="AA10" s="1309"/>
      <c r="AB10" s="1309"/>
      <c r="AC10" s="1309"/>
      <c r="AD10" s="6689"/>
      <c r="AE10" s="6799"/>
      <c r="AF10" s="6718"/>
      <c r="AG10" s="6836"/>
      <c r="AH10" s="6610"/>
      <c r="AI10" s="6799"/>
      <c r="AJ10" s="6718"/>
      <c r="AK10" s="6820"/>
      <c r="AL10" s="6610"/>
      <c r="AM10" s="239"/>
      <c r="AN10" s="1409"/>
      <c r="AO10" s="1409" t="s">
        <v>626</v>
      </c>
      <c r="AP10" s="350"/>
      <c r="AQ10" s="350"/>
      <c r="AR10" s="350"/>
      <c r="AS10" s="1309"/>
      <c r="AT10" s="1309"/>
      <c r="AU10" s="1405"/>
      <c r="AV10" s="1309"/>
      <c r="AW10" s="1405"/>
      <c r="AX10" s="1309"/>
      <c r="AY10" s="1309"/>
      <c r="AZ10" s="1309"/>
      <c r="BA10" s="1309"/>
      <c r="BB10" s="1313"/>
      <c r="BC10" s="6759"/>
      <c r="BE10" s="426"/>
      <c r="BF10" s="426"/>
      <c r="BG10" s="426"/>
      <c r="BH10" s="426"/>
    </row>
    <row r="11" spans="1:60" ht="11.25" hidden="1" customHeight="1">
      <c r="A11" s="1279"/>
      <c r="B11" s="1279"/>
      <c r="C11" s="1279"/>
      <c r="D11" s="1279"/>
      <c r="E11" s="6764"/>
      <c r="F11" s="6764"/>
      <c r="G11" s="6764"/>
      <c r="H11" s="6764"/>
      <c r="I11" s="6784"/>
      <c r="J11" s="6784"/>
      <c r="K11" s="6761"/>
      <c r="L11" s="1280"/>
      <c r="P11" s="6762"/>
      <c r="Q11" s="6762"/>
      <c r="R11" s="6819"/>
      <c r="S11" s="6814"/>
      <c r="T11" s="6834"/>
      <c r="U11" s="219"/>
      <c r="V11" s="1309"/>
      <c r="W11" s="1405"/>
      <c r="X11" s="1309"/>
      <c r="Y11" s="1405"/>
      <c r="Z11" s="1309"/>
      <c r="AA11" s="1309"/>
      <c r="AB11" s="1309"/>
      <c r="AC11" s="1309"/>
      <c r="AD11" s="6689"/>
      <c r="AE11" s="6799"/>
      <c r="AF11" s="6718"/>
      <c r="AG11" s="6836"/>
      <c r="AH11" s="6610"/>
      <c r="AI11" s="213"/>
      <c r="AJ11" s="349"/>
      <c r="AK11" s="234" t="s">
        <v>627</v>
      </c>
      <c r="AL11" s="1309"/>
      <c r="AM11" s="1309"/>
      <c r="AN11" s="1309"/>
      <c r="AO11" s="1309"/>
      <c r="AP11" s="1309"/>
      <c r="AQ11" s="1309"/>
      <c r="AR11" s="1309"/>
      <c r="AS11" s="1309"/>
      <c r="AT11" s="1309"/>
      <c r="AU11" s="1405"/>
      <c r="AV11" s="1309"/>
      <c r="AW11" s="1405"/>
      <c r="AX11" s="1309"/>
      <c r="AY11" s="1309"/>
      <c r="AZ11" s="1309"/>
      <c r="BA11" s="1309"/>
      <c r="BB11" s="1313"/>
      <c r="BC11" s="6759"/>
      <c r="BE11" s="426"/>
      <c r="BF11" s="426"/>
      <c r="BG11" s="426"/>
      <c r="BH11" s="426"/>
    </row>
    <row r="12" spans="1:60" ht="11.25" hidden="1" customHeight="1">
      <c r="A12" s="1279"/>
      <c r="B12" s="1279"/>
      <c r="C12" s="1279"/>
      <c r="D12" s="1279"/>
      <c r="E12" s="6764"/>
      <c r="F12" s="6764"/>
      <c r="G12" s="6764"/>
      <c r="H12" s="6764"/>
      <c r="I12" s="6784"/>
      <c r="J12" s="6784"/>
      <c r="K12" s="6761"/>
      <c r="L12" s="1280"/>
      <c r="P12" s="6762"/>
      <c r="Q12" s="6762"/>
      <c r="R12" s="6819"/>
      <c r="S12" s="6815"/>
      <c r="T12" s="6835"/>
      <c r="U12" s="219"/>
      <c r="V12" s="1309"/>
      <c r="W12" s="1310" t="str">
        <f>Z8&amp;"-"&amp;AB8</f>
        <v>-</v>
      </c>
      <c r="X12" s="1309"/>
      <c r="Y12" s="1310" t="str">
        <f>AB8&amp;"-"&amp;AD8</f>
        <v>-да</v>
      </c>
      <c r="Z12" s="1309"/>
      <c r="AA12" s="1309"/>
      <c r="AB12" s="1309"/>
      <c r="AC12" s="1309"/>
      <c r="AD12" s="6615"/>
      <c r="AE12" s="233"/>
      <c r="AF12" s="235"/>
      <c r="AG12" s="350" t="s">
        <v>628</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6759"/>
      <c r="BE12" s="426"/>
      <c r="BF12" s="426" t="str">
        <f t="shared" ref="BF12:BF18" si="1">IF(T12="","",T12)</f>
        <v/>
      </c>
      <c r="BG12" s="426"/>
      <c r="BH12" s="426"/>
    </row>
    <row r="13" spans="1:60" ht="11.25" hidden="1" customHeight="1">
      <c r="A13" s="1279"/>
      <c r="B13" s="1279"/>
      <c r="C13" s="1279"/>
      <c r="D13" s="1279"/>
      <c r="E13" s="6764"/>
      <c r="F13" s="6764"/>
      <c r="G13" s="6764"/>
      <c r="H13" s="6764"/>
      <c r="I13" s="6784"/>
      <c r="J13" s="6761"/>
      <c r="K13" s="1279"/>
      <c r="L13" s="1280"/>
      <c r="P13" s="6762"/>
      <c r="Q13" s="6762"/>
      <c r="R13" s="281"/>
      <c r="S13" s="1198"/>
      <c r="T13" s="206" t="s">
        <v>586</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6760"/>
      <c r="BE13" s="426"/>
      <c r="BF13" s="426" t="str">
        <f t="shared" si="1"/>
        <v>Добавить строку</v>
      </c>
      <c r="BG13" s="426"/>
      <c r="BH13" s="426"/>
    </row>
    <row r="14" spans="1:60" s="1817" customFormat="1" ht="14.25" hidden="1" customHeight="1">
      <c r="A14" s="1260"/>
      <c r="B14" s="1260"/>
      <c r="C14" s="1260"/>
      <c r="D14" s="1260"/>
      <c r="E14" s="6764"/>
      <c r="F14" s="6764"/>
      <c r="G14" s="6764"/>
      <c r="H14" s="6764"/>
      <c r="I14" s="6761"/>
      <c r="J14" s="1260"/>
      <c r="K14" s="1260"/>
      <c r="L14" s="1263"/>
      <c r="M14" s="436"/>
      <c r="N14" s="436"/>
      <c r="O14" s="436"/>
      <c r="P14" s="6762"/>
      <c r="Q14" s="1390"/>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17" customFormat="1" ht="14.25" hidden="1" customHeight="1">
      <c r="A15" s="1260"/>
      <c r="B15" s="1260"/>
      <c r="C15" s="1260"/>
      <c r="D15" s="1260"/>
      <c r="E15" s="6764"/>
      <c r="F15" s="6764"/>
      <c r="G15" s="6764"/>
      <c r="H15" s="6763"/>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067" customFormat="1" ht="14.25" hidden="1" customHeight="1">
      <c r="A16" s="1260"/>
      <c r="B16" s="1260"/>
      <c r="C16" s="1260"/>
      <c r="D16" s="1232"/>
      <c r="E16" s="6764"/>
      <c r="F16" s="6764"/>
      <c r="G16" s="6763"/>
      <c r="H16" s="1232"/>
      <c r="I16" s="1232"/>
      <c r="J16" s="1232"/>
      <c r="K16" s="1232"/>
      <c r="L16" s="1403"/>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067" customFormat="1" ht="14.25" hidden="1" customHeight="1">
      <c r="A17" s="1260"/>
      <c r="B17" s="1260"/>
      <c r="C17" s="1232"/>
      <c r="D17" s="1232"/>
      <c r="E17" s="6764"/>
      <c r="F17" s="6763"/>
      <c r="G17" s="1232"/>
      <c r="H17" s="1232"/>
      <c r="I17" s="1232"/>
      <c r="J17" s="1232"/>
      <c r="K17" s="1232"/>
      <c r="L17" s="1403"/>
      <c r="M17" s="1239"/>
      <c r="N17" s="1239"/>
      <c r="P17" s="1234"/>
      <c r="Q17" s="1235"/>
      <c r="R17" s="1234"/>
      <c r="S17" s="1240"/>
      <c r="T17" s="1243" t="s">
        <v>229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17" customFormat="1" ht="14.25" hidden="1" customHeight="1">
      <c r="A18" s="1260"/>
      <c r="B18" s="1260"/>
      <c r="C18" s="1260"/>
      <c r="D18" s="1260"/>
      <c r="E18" s="6763"/>
      <c r="F18" s="1260"/>
      <c r="G18" s="1260"/>
      <c r="H18" s="1260"/>
      <c r="I18" s="1260"/>
      <c r="J18" s="1260"/>
      <c r="K18" s="1260"/>
      <c r="L18" s="1263"/>
      <c r="M18" s="1239"/>
      <c r="N18" s="1239"/>
      <c r="O18" s="444"/>
      <c r="P18" s="313"/>
      <c r="Q18" s="1261"/>
      <c r="R18" s="313"/>
      <c r="S18" s="1240"/>
      <c r="T18" s="1243" t="s">
        <v>272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0"/>
      <c r="AF20" s="473">
        <v>1</v>
      </c>
      <c r="AG20" s="1411"/>
      <c r="AH20" s="1242" t="s">
        <v>56</v>
      </c>
      <c r="AI20" s="1410"/>
      <c r="AJ20" s="473">
        <v>1</v>
      </c>
      <c r="AK20" s="1411"/>
      <c r="AL20" s="1242" t="s">
        <v>56</v>
      </c>
      <c r="AM20" s="1412"/>
      <c r="AN20" s="473">
        <v>1</v>
      </c>
      <c r="AO20" s="1413"/>
      <c r="AP20" s="1242" t="s">
        <v>56</v>
      </c>
      <c r="AQ20" s="1412"/>
      <c r="AR20" s="473">
        <v>1</v>
      </c>
      <c r="AS20" s="1413"/>
      <c r="AT20" s="251"/>
      <c r="AU20" s="318"/>
      <c r="AV20" s="251"/>
      <c r="AW20" s="318"/>
      <c r="AX20" s="1645"/>
      <c r="AY20" s="1394" t="s">
        <v>61</v>
      </c>
      <c r="AZ20" s="1645"/>
      <c r="BA20" s="1394" t="s">
        <v>61</v>
      </c>
    </row>
    <row r="21" spans="1:60" ht="14.25" hidden="1" customHeight="1">
      <c r="BD21" s="422"/>
      <c r="BE21" s="422"/>
      <c r="BF21" s="422"/>
      <c r="BG21" s="422"/>
      <c r="BH21" s="422"/>
    </row>
    <row r="22" spans="1:60" ht="14.25" hidden="1" customHeight="1">
      <c r="O22" s="1283" t="s">
        <v>534</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6441" customFormat="1" ht="14.25" hidden="1" customHeight="1">
      <c r="M24" s="1417"/>
      <c r="N24" s="1417"/>
      <c r="O24" s="1418" t="s">
        <v>535</v>
      </c>
      <c r="P24" s="1417"/>
      <c r="Q24" s="1419"/>
      <c r="R24" s="1419"/>
      <c r="AA24" s="1416" t="s">
        <v>537</v>
      </c>
      <c r="AC24" s="1416" t="s">
        <v>538</v>
      </c>
      <c r="AD24" s="1416" t="s">
        <v>587</v>
      </c>
      <c r="AH24" s="1416" t="s">
        <v>587</v>
      </c>
      <c r="AK24" s="1416" t="s">
        <v>629</v>
      </c>
      <c r="AL24" s="1416" t="s">
        <v>587</v>
      </c>
      <c r="AP24" s="1416" t="s">
        <v>587</v>
      </c>
      <c r="AY24" s="1416" t="s">
        <v>537</v>
      </c>
      <c r="BA24" s="1416" t="s">
        <v>538</v>
      </c>
      <c r="BD24" s="1420"/>
      <c r="BE24" s="1420"/>
      <c r="BF24" s="1420"/>
      <c r="BG24" s="1420"/>
      <c r="BH24" s="1420"/>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674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6747"/>
      <c r="U28" s="6747"/>
      <c r="V28" s="6747"/>
      <c r="W28" s="6747"/>
      <c r="X28" s="6747"/>
      <c r="Y28" s="6747"/>
      <c r="Z28" s="6747"/>
      <c r="AA28" s="6747"/>
      <c r="AB28" s="6747"/>
      <c r="AC28" s="6747"/>
      <c r="AD28" s="6747"/>
      <c r="AE28" s="6747"/>
      <c r="AF28" s="6747"/>
      <c r="AG28" s="6747"/>
      <c r="AH28" s="6747"/>
      <c r="AI28" s="6747"/>
      <c r="AJ28" s="6747"/>
      <c r="AK28" s="6747"/>
      <c r="AL28" s="6747"/>
      <c r="AM28" s="6747"/>
      <c r="AN28" s="6747"/>
      <c r="AO28" s="6747"/>
      <c r="AP28" s="6747"/>
      <c r="AQ28" s="6747"/>
      <c r="AR28" s="6747"/>
      <c r="AS28" s="6747"/>
      <c r="AT28" s="6747"/>
      <c r="AU28" s="6747"/>
      <c r="AV28" s="6747"/>
      <c r="AW28" s="6747"/>
      <c r="AX28" s="6747"/>
      <c r="AY28" s="6747"/>
      <c r="AZ28" s="6747"/>
      <c r="BA28" s="1152"/>
    </row>
    <row r="29" spans="1:60" ht="14.25" customHeight="1">
      <c r="Q29" s="210"/>
      <c r="R29" s="305"/>
      <c r="S29" s="6694" t="str">
        <f>IF(org=0,"Не определено",org)</f>
        <v>ООО "Марикоммунэнерго"</v>
      </c>
      <c r="T29" s="6694"/>
      <c r="U29" s="6694"/>
      <c r="V29" s="6694"/>
      <c r="W29" s="6694"/>
      <c r="X29" s="6694"/>
      <c r="Y29" s="6694"/>
      <c r="Z29" s="6694"/>
      <c r="AA29" s="6694"/>
      <c r="AB29" s="6694"/>
      <c r="AC29" s="6694"/>
      <c r="AD29" s="6694"/>
      <c r="AE29" s="6694"/>
      <c r="AF29" s="6694"/>
      <c r="AG29" s="6694"/>
      <c r="AH29" s="6694"/>
      <c r="AI29" s="6694"/>
      <c r="AJ29" s="6694"/>
      <c r="AK29" s="6694"/>
      <c r="AL29" s="6694"/>
      <c r="AM29" s="6694"/>
      <c r="AN29" s="6694"/>
      <c r="AO29" s="6694"/>
      <c r="AP29" s="6694"/>
      <c r="AQ29" s="6694"/>
      <c r="AR29" s="6694"/>
      <c r="AS29" s="6694"/>
      <c r="AT29" s="6694"/>
      <c r="AU29" s="6694"/>
      <c r="AV29" s="6694"/>
      <c r="AW29" s="6694"/>
      <c r="AX29" s="6694"/>
      <c r="AY29" s="6694"/>
      <c r="AZ29" s="6694"/>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072" customFormat="1" ht="25.5" customHeight="1">
      <c r="A31" s="1284"/>
      <c r="B31" s="1284"/>
      <c r="C31" s="1284"/>
      <c r="D31" s="1284"/>
      <c r="E31" s="1284"/>
      <c r="F31" s="1284"/>
      <c r="G31" s="1284"/>
      <c r="H31" s="1284"/>
      <c r="I31" s="1284"/>
      <c r="J31" s="1284"/>
      <c r="K31" s="1284"/>
      <c r="L31" s="1285"/>
      <c r="M31" s="1284"/>
      <c r="N31" s="1284"/>
      <c r="O31" s="1284"/>
      <c r="P31" s="1284"/>
      <c r="Q31" s="1284"/>
      <c r="S31" s="6755" t="s">
        <v>38</v>
      </c>
      <c r="T31" s="6755"/>
      <c r="U31" s="1288"/>
      <c r="V31" s="6756" t="str">
        <f>IF(TITLE_NAME_OR_PR_CHANGE="",IF(TITLE_NAME_OR_PR="","",TITLE_NAME_OR_PR),TITLE_NAME_OR_PR_CHANGE)</f>
        <v>Министерство промышленности, экономического развития и торговли Республики Марий Эл</v>
      </c>
      <c r="W31" s="6756"/>
      <c r="X31" s="6756"/>
      <c r="Y31" s="6756"/>
      <c r="Z31" s="6756"/>
      <c r="AA31" s="6756"/>
      <c r="AB31" s="6756"/>
      <c r="AC31" s="253"/>
      <c r="AD31" s="6756" t="str">
        <f>IF(TITLE_NAME_OR_PR_CHANGE="",IF(TITLE_NAME_OR_PR="","",TITLE_NAME_OR_PR),TITLE_NAME_OR_PR_CHANGE)</f>
        <v>Министерство промышленности, экономического развития и торговли Республики Марий Эл</v>
      </c>
      <c r="AE31" s="6756"/>
      <c r="AF31" s="6756"/>
      <c r="AG31" s="6756"/>
      <c r="AH31" s="6756"/>
      <c r="AI31" s="6756"/>
      <c r="AJ31" s="6756"/>
      <c r="AK31" s="6756"/>
      <c r="AL31" s="6756"/>
      <c r="AM31" s="6756"/>
      <c r="AN31" s="6756"/>
      <c r="AO31" s="6756"/>
      <c r="AP31" s="6756"/>
      <c r="AQ31" s="6756"/>
      <c r="AR31" s="6756"/>
      <c r="AS31" s="6756"/>
      <c r="AT31" s="6756"/>
      <c r="AU31" s="6756"/>
      <c r="AV31" s="6756"/>
      <c r="AW31" s="6756"/>
      <c r="AX31" s="6756"/>
      <c r="AY31" s="6756"/>
      <c r="AZ31" s="6756"/>
      <c r="BA31" s="253"/>
      <c r="BB31" s="253"/>
      <c r="BC31" s="200"/>
      <c r="BD31" s="296"/>
      <c r="BE31" s="296"/>
      <c r="BF31" s="296"/>
      <c r="BG31" s="296"/>
      <c r="BH31" s="296"/>
    </row>
    <row r="32" spans="1:60" s="2072" customFormat="1" ht="18.75" customHeight="1">
      <c r="A32" s="1284"/>
      <c r="B32" s="1284"/>
      <c r="C32" s="1284"/>
      <c r="D32" s="1284"/>
      <c r="E32" s="1284"/>
      <c r="F32" s="1284"/>
      <c r="G32" s="1284"/>
      <c r="H32" s="1284"/>
      <c r="I32" s="1284"/>
      <c r="J32" s="1284"/>
      <c r="K32" s="1284"/>
      <c r="L32" s="1285"/>
      <c r="M32" s="1284"/>
      <c r="N32" s="1284"/>
      <c r="O32" s="1284"/>
      <c r="P32" s="1284"/>
      <c r="Q32" s="1284"/>
      <c r="S32" s="6755" t="s">
        <v>540</v>
      </c>
      <c r="T32" s="6755"/>
      <c r="U32" s="1288"/>
      <c r="V32" s="6765">
        <f>IF(TITLE_DATE_PR_CHANGE="",IF(TITLE_DATE_PR="","",TITLE_DATE_PR),TITLE_DATE_PR_CHANGE)</f>
        <v>45280.426180555558</v>
      </c>
      <c r="W32" s="6765"/>
      <c r="X32" s="6765"/>
      <c r="Y32" s="6765"/>
      <c r="Z32" s="6765"/>
      <c r="AA32" s="6765"/>
      <c r="AB32" s="6765"/>
      <c r="AC32" s="253"/>
      <c r="AD32" s="6765">
        <f>IF(TITLE_DATE_PR_CHANGE="",IF(TITLE_DATE_PR="","",TITLE_DATE_PR),TITLE_DATE_PR_CHANGE)</f>
        <v>45280.426180555558</v>
      </c>
      <c r="AE32" s="6765"/>
      <c r="AF32" s="6765"/>
      <c r="AG32" s="6765"/>
      <c r="AH32" s="6765"/>
      <c r="AI32" s="6765"/>
      <c r="AJ32" s="6765"/>
      <c r="AK32" s="6765"/>
      <c r="AL32" s="6765"/>
      <c r="AM32" s="6765"/>
      <c r="AN32" s="6765"/>
      <c r="AO32" s="6765"/>
      <c r="AP32" s="6765"/>
      <c r="AQ32" s="6765"/>
      <c r="AR32" s="6765"/>
      <c r="AS32" s="6765"/>
      <c r="AT32" s="6765"/>
      <c r="AU32" s="6765"/>
      <c r="AV32" s="6765"/>
      <c r="AW32" s="6765"/>
      <c r="AX32" s="6765"/>
      <c r="AY32" s="6765"/>
      <c r="AZ32" s="6765"/>
      <c r="BA32" s="253"/>
      <c r="BB32" s="253"/>
      <c r="BC32" s="200"/>
      <c r="BD32" s="296"/>
      <c r="BE32" s="296"/>
      <c r="BF32" s="296"/>
      <c r="BG32" s="296"/>
      <c r="BH32" s="296"/>
    </row>
    <row r="33" spans="1:60" s="2072" customFormat="1" ht="18.75" customHeight="1">
      <c r="A33" s="1284"/>
      <c r="B33" s="1284"/>
      <c r="C33" s="1284"/>
      <c r="D33" s="1284"/>
      <c r="E33" s="1284"/>
      <c r="F33" s="1284"/>
      <c r="G33" s="1284"/>
      <c r="H33" s="1284"/>
      <c r="I33" s="1284"/>
      <c r="J33" s="1284"/>
      <c r="K33" s="1284"/>
      <c r="L33" s="1285"/>
      <c r="M33" s="1284"/>
      <c r="N33" s="1284"/>
      <c r="O33" s="1284"/>
      <c r="P33" s="1284"/>
      <c r="Q33" s="1284"/>
      <c r="S33" s="6755" t="s">
        <v>541</v>
      </c>
      <c r="T33" s="6755"/>
      <c r="U33" s="1288"/>
      <c r="V33" s="6756" t="str">
        <f>IF(TITLE_NUMBER_PR_CHANGE="",IF(TITLE_NUMBER_PR="","",TITLE_NUMBER_PR),TITLE_NUMBER_PR_CHANGE)</f>
        <v>124 т, 125 т, 126 т, 169 т</v>
      </c>
      <c r="W33" s="6756"/>
      <c r="X33" s="6756"/>
      <c r="Y33" s="6756"/>
      <c r="Z33" s="6756"/>
      <c r="AA33" s="6756"/>
      <c r="AB33" s="6756"/>
      <c r="AC33" s="253"/>
      <c r="AD33" s="6756" t="str">
        <f>IF(TITLE_NUMBER_PR_CHANGE="",IF(TITLE_NUMBER_PR="","",TITLE_NUMBER_PR),TITLE_NUMBER_PR_CHANGE)</f>
        <v>124 т, 125 т, 126 т, 169 т</v>
      </c>
      <c r="AE33" s="6756"/>
      <c r="AF33" s="6756"/>
      <c r="AG33" s="6756"/>
      <c r="AH33" s="6756"/>
      <c r="AI33" s="6756"/>
      <c r="AJ33" s="6756"/>
      <c r="AK33" s="6756"/>
      <c r="AL33" s="6756"/>
      <c r="AM33" s="6756"/>
      <c r="AN33" s="6756"/>
      <c r="AO33" s="6756"/>
      <c r="AP33" s="6756"/>
      <c r="AQ33" s="6756"/>
      <c r="AR33" s="6756"/>
      <c r="AS33" s="6756"/>
      <c r="AT33" s="6756"/>
      <c r="AU33" s="6756"/>
      <c r="AV33" s="6756"/>
      <c r="AW33" s="6756"/>
      <c r="AX33" s="6756"/>
      <c r="AY33" s="6756"/>
      <c r="AZ33" s="6756"/>
      <c r="BA33" s="253"/>
      <c r="BB33" s="253"/>
      <c r="BC33" s="200"/>
      <c r="BD33" s="296"/>
      <c r="BE33" s="296"/>
      <c r="BF33" s="296"/>
      <c r="BG33" s="296"/>
      <c r="BH33" s="296"/>
    </row>
    <row r="34" spans="1:60" s="2072" customFormat="1" ht="18.75" customHeight="1">
      <c r="A34" s="1284"/>
      <c r="B34" s="1284"/>
      <c r="C34" s="1284"/>
      <c r="D34" s="1284"/>
      <c r="E34" s="1284"/>
      <c r="F34" s="1284"/>
      <c r="G34" s="1284"/>
      <c r="H34" s="1284"/>
      <c r="I34" s="1284"/>
      <c r="J34" s="1284"/>
      <c r="K34" s="1284"/>
      <c r="L34" s="1285"/>
      <c r="M34" s="1284"/>
      <c r="N34" s="1284"/>
      <c r="O34" s="1284"/>
      <c r="P34" s="1284"/>
      <c r="Q34" s="1284"/>
      <c r="S34" s="6755" t="s">
        <v>40</v>
      </c>
      <c r="T34" s="6755"/>
      <c r="U34" s="1288"/>
      <c r="V34" s="6756" t="str">
        <f>IF(TITLE_IST_PUB_CHANGE="",IF(TITLE_IST_PUB="","",TITLE_IST_PUB),TITLE_IST_PUB_CHANGE)</f>
        <v>портал Официальное опубликование нормативных правовых актов  Республики Марий Эл</v>
      </c>
      <c r="W34" s="6756"/>
      <c r="X34" s="6756"/>
      <c r="Y34" s="6756"/>
      <c r="Z34" s="6756"/>
      <c r="AA34" s="6756"/>
      <c r="AB34" s="6756"/>
      <c r="AC34" s="253"/>
      <c r="AD34" s="6756" t="str">
        <f>IF(TITLE_IST_PUB_CHANGE="",IF(TITLE_IST_PUB="","",TITLE_IST_PUB),TITLE_IST_PUB_CHANGE)</f>
        <v>портал Официальное опубликование нормативных правовых актов  Республики Марий Эл</v>
      </c>
      <c r="AE34" s="6756"/>
      <c r="AF34" s="6756"/>
      <c r="AG34" s="6756"/>
      <c r="AH34" s="6756"/>
      <c r="AI34" s="6756"/>
      <c r="AJ34" s="6756"/>
      <c r="AK34" s="6756"/>
      <c r="AL34" s="6756"/>
      <c r="AM34" s="6756"/>
      <c r="AN34" s="6756"/>
      <c r="AO34" s="6756"/>
      <c r="AP34" s="6756"/>
      <c r="AQ34" s="6756"/>
      <c r="AR34" s="6756"/>
      <c r="AS34" s="6756"/>
      <c r="AT34" s="6756"/>
      <c r="AU34" s="6756"/>
      <c r="AV34" s="6756"/>
      <c r="AW34" s="6756"/>
      <c r="AX34" s="6756"/>
      <c r="AY34" s="6756"/>
      <c r="AZ34" s="6756"/>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072" customFormat="1" ht="18.75" hidden="1" customHeight="1">
      <c r="A36" s="1284"/>
      <c r="B36" s="1284"/>
      <c r="C36" s="1284"/>
      <c r="D36" s="1284"/>
      <c r="E36" s="1284"/>
      <c r="F36" s="1284"/>
      <c r="G36" s="1284"/>
      <c r="H36" s="1284"/>
      <c r="I36" s="1284"/>
      <c r="J36" s="1284"/>
      <c r="K36" s="1284"/>
      <c r="L36" s="1285"/>
      <c r="M36" s="1284"/>
      <c r="N36" s="1284"/>
      <c r="O36" s="1284"/>
      <c r="P36" s="1284"/>
      <c r="Q36" s="1284"/>
      <c r="S36" s="6755" t="s">
        <v>540</v>
      </c>
      <c r="T36" s="6755"/>
      <c r="U36" s="1288"/>
      <c r="V36" s="6765">
        <f>IF(TITLE_DATE_PR_CHANGE="",IF(TITLE_DATE_PR="","",TITLE_DATE_PR),TITLE_DATE_PR_CHANGE)</f>
        <v>45280.426180555558</v>
      </c>
      <c r="W36" s="6765"/>
      <c r="X36" s="6765"/>
      <c r="Y36" s="6765"/>
      <c r="Z36" s="6765"/>
      <c r="AA36" s="6765"/>
      <c r="AB36" s="6765"/>
      <c r="AC36" s="253"/>
      <c r="AD36" s="6765">
        <f>IF(TITLE_DATE_PR_CHANGE="",IF(TITLE_DATE_PR="","",TITLE_DATE_PR),TITLE_DATE_PR_CHANGE)</f>
        <v>45280.426180555558</v>
      </c>
      <c r="AE36" s="6765"/>
      <c r="AF36" s="6765"/>
      <c r="AG36" s="6765"/>
      <c r="AH36" s="6765"/>
      <c r="AI36" s="6765"/>
      <c r="AJ36" s="6765"/>
      <c r="AK36" s="6765"/>
      <c r="AL36" s="6765"/>
      <c r="AM36" s="6765"/>
      <c r="AN36" s="6765"/>
      <c r="AO36" s="6765"/>
      <c r="AP36" s="6765"/>
      <c r="AQ36" s="6765"/>
      <c r="AR36" s="6765"/>
      <c r="AS36" s="6765"/>
      <c r="AT36" s="6765"/>
      <c r="AU36" s="6765"/>
      <c r="AV36" s="6765"/>
      <c r="AW36" s="6765"/>
      <c r="AX36" s="6765"/>
      <c r="AY36" s="6765"/>
      <c r="AZ36" s="6765"/>
      <c r="BA36" s="253"/>
      <c r="BB36" s="253"/>
      <c r="BC36" s="200"/>
      <c r="BD36" s="296"/>
      <c r="BE36" s="296"/>
      <c r="BF36" s="296"/>
      <c r="BG36" s="296"/>
      <c r="BH36" s="296"/>
    </row>
    <row r="37" spans="1:60" s="2072" customFormat="1" ht="18.75" hidden="1" customHeight="1">
      <c r="A37" s="1284"/>
      <c r="B37" s="1284"/>
      <c r="C37" s="1284"/>
      <c r="D37" s="1284"/>
      <c r="E37" s="1284"/>
      <c r="F37" s="1284"/>
      <c r="G37" s="1284"/>
      <c r="H37" s="1284"/>
      <c r="I37" s="1284"/>
      <c r="J37" s="1284"/>
      <c r="K37" s="1284"/>
      <c r="L37" s="1285"/>
      <c r="M37" s="1284"/>
      <c r="N37" s="1284"/>
      <c r="O37" s="1284"/>
      <c r="P37" s="1284"/>
      <c r="Q37" s="1284"/>
      <c r="S37" s="6755" t="s">
        <v>541</v>
      </c>
      <c r="T37" s="6755"/>
      <c r="U37" s="1288"/>
      <c r="V37" s="6756" t="str">
        <f>IF(TITLE_NUMBER_PR_CHANGE="",IF(TITLE_NUMBER_PR="","",TITLE_NUMBER_PR),TITLE_NUMBER_PR_CHANGE)</f>
        <v>124 т, 125 т, 126 т, 169 т</v>
      </c>
      <c r="W37" s="6756"/>
      <c r="X37" s="6756"/>
      <c r="Y37" s="6756"/>
      <c r="Z37" s="6756"/>
      <c r="AA37" s="6756"/>
      <c r="AB37" s="6756"/>
      <c r="AC37" s="253"/>
      <c r="AD37" s="6756" t="str">
        <f>IF(TITLE_NUMBER_PR_CHANGE="",IF(TITLE_NUMBER_PR="","",TITLE_NUMBER_PR),TITLE_NUMBER_PR_CHANGE)</f>
        <v>124 т, 125 т, 126 т, 169 т</v>
      </c>
      <c r="AE37" s="6756"/>
      <c r="AF37" s="6756"/>
      <c r="AG37" s="6756"/>
      <c r="AH37" s="6756"/>
      <c r="AI37" s="6756"/>
      <c r="AJ37" s="6756"/>
      <c r="AK37" s="6756"/>
      <c r="AL37" s="6756"/>
      <c r="AM37" s="6756"/>
      <c r="AN37" s="6756"/>
      <c r="AO37" s="6756"/>
      <c r="AP37" s="6756"/>
      <c r="AQ37" s="6756"/>
      <c r="AR37" s="6756"/>
      <c r="AS37" s="6756"/>
      <c r="AT37" s="6756"/>
      <c r="AU37" s="6756"/>
      <c r="AV37" s="6756"/>
      <c r="AW37" s="6756"/>
      <c r="AX37" s="6756"/>
      <c r="AY37" s="6756"/>
      <c r="AZ37" s="6756"/>
      <c r="BA37" s="253"/>
      <c r="BB37" s="253"/>
      <c r="BC37" s="200"/>
      <c r="BD37" s="296"/>
      <c r="BE37" s="296"/>
      <c r="BF37" s="296"/>
      <c r="BG37" s="296"/>
      <c r="BH37" s="296"/>
    </row>
    <row r="38" spans="1:60" s="207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7"/>
      <c r="V38" s="253"/>
      <c r="W38" s="253"/>
      <c r="X38" s="253"/>
      <c r="Y38" s="253"/>
      <c r="Z38" s="253"/>
      <c r="AA38" s="253"/>
      <c r="AB38" s="253"/>
      <c r="AC38" s="198" t="s">
        <v>544</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544</v>
      </c>
      <c r="BD38" s="296"/>
      <c r="BE38" s="296"/>
      <c r="BF38" s="296"/>
      <c r="BG38" s="296"/>
      <c r="BH38" s="296"/>
    </row>
    <row r="39" spans="1:60" ht="14.25" customHeight="1">
      <c r="Q39" s="210"/>
      <c r="R39" s="305"/>
      <c r="S39" s="1195"/>
      <c r="T39" s="290"/>
      <c r="U39" s="1153"/>
      <c r="V39" s="6757"/>
      <c r="W39" s="6757"/>
      <c r="X39" s="6757"/>
      <c r="Y39" s="6757"/>
      <c r="Z39" s="6757"/>
      <c r="AA39" s="6757"/>
      <c r="AB39" s="6757"/>
      <c r="AC39" s="6757"/>
      <c r="AD39" s="6757"/>
      <c r="AE39" s="6757"/>
      <c r="AF39" s="6757"/>
      <c r="AG39" s="6757"/>
      <c r="AH39" s="6757"/>
      <c r="AI39" s="6757"/>
      <c r="AJ39" s="6757"/>
      <c r="AK39" s="6757"/>
      <c r="AL39" s="6757"/>
      <c r="AM39" s="6757"/>
      <c r="AN39" s="6757"/>
      <c r="AO39" s="6757"/>
      <c r="AP39" s="6757"/>
      <c r="AQ39" s="6757"/>
      <c r="AR39" s="6757"/>
      <c r="AS39" s="6757"/>
      <c r="AT39" s="6757"/>
      <c r="AU39" s="6757"/>
      <c r="AV39" s="6757"/>
      <c r="AW39" s="6757"/>
      <c r="AX39" s="6757"/>
      <c r="AY39" s="6757"/>
      <c r="AZ39" s="6757"/>
      <c r="BA39" s="6757"/>
    </row>
    <row r="40" spans="1:60" ht="14.25" customHeight="1">
      <c r="Q40" s="210"/>
      <c r="R40" s="305"/>
      <c r="S40" s="6629" t="s">
        <v>418</v>
      </c>
      <c r="T40" s="6629"/>
      <c r="U40" s="6629"/>
      <c r="V40" s="6629"/>
      <c r="W40" s="6629"/>
      <c r="X40" s="6629"/>
      <c r="Y40" s="6629"/>
      <c r="Z40" s="6629"/>
      <c r="AA40" s="6629"/>
      <c r="AB40" s="6629"/>
      <c r="AC40" s="6629"/>
      <c r="AD40" s="6629"/>
      <c r="AE40" s="6629"/>
      <c r="AF40" s="6629"/>
      <c r="AG40" s="6629"/>
      <c r="AH40" s="6629"/>
      <c r="AI40" s="6629"/>
      <c r="AJ40" s="6629"/>
      <c r="AK40" s="6629"/>
      <c r="AL40" s="6629"/>
      <c r="AM40" s="6629"/>
      <c r="AN40" s="6629"/>
      <c r="AO40" s="6629"/>
      <c r="AP40" s="6629"/>
      <c r="AQ40" s="6629"/>
      <c r="AR40" s="6629"/>
      <c r="AS40" s="6629"/>
      <c r="AT40" s="6629"/>
      <c r="AU40" s="6629"/>
      <c r="AV40" s="6629"/>
      <c r="AW40" s="6629"/>
      <c r="AX40" s="6629"/>
      <c r="AY40" s="6629"/>
      <c r="AZ40" s="6629"/>
      <c r="BA40" s="6629"/>
      <c r="BB40" s="6629"/>
      <c r="BC40" s="6629" t="s">
        <v>419</v>
      </c>
    </row>
    <row r="41" spans="1:60" ht="14.25" customHeight="1">
      <c r="Q41" s="210"/>
      <c r="R41" s="305"/>
      <c r="S41" s="6771" t="s">
        <v>87</v>
      </c>
      <c r="T41" s="6723" t="s">
        <v>630</v>
      </c>
      <c r="U41" s="220"/>
      <c r="V41" s="6772" t="s">
        <v>546</v>
      </c>
      <c r="W41" s="6773"/>
      <c r="X41" s="6773"/>
      <c r="Y41" s="6773"/>
      <c r="Z41" s="6773"/>
      <c r="AA41" s="6773"/>
      <c r="AB41" s="6774"/>
      <c r="AC41" s="6775" t="s">
        <v>547</v>
      </c>
      <c r="AD41" s="6801" t="s">
        <v>631</v>
      </c>
      <c r="AE41" s="6787"/>
      <c r="AF41" s="6787"/>
      <c r="AG41" s="6802"/>
      <c r="AH41" s="6801" t="s">
        <v>632</v>
      </c>
      <c r="AI41" s="6787"/>
      <c r="AJ41" s="6787"/>
      <c r="AK41" s="6802"/>
      <c r="AL41" s="6801" t="s">
        <v>633</v>
      </c>
      <c r="AM41" s="6787"/>
      <c r="AN41" s="6787"/>
      <c r="AO41" s="6802"/>
      <c r="AP41" s="6801" t="s">
        <v>634</v>
      </c>
      <c r="AQ41" s="6787"/>
      <c r="AR41" s="6787"/>
      <c r="AS41" s="6802"/>
      <c r="AT41" s="6772" t="s">
        <v>546</v>
      </c>
      <c r="AU41" s="6773"/>
      <c r="AV41" s="6773"/>
      <c r="AW41" s="6773"/>
      <c r="AX41" s="6773"/>
      <c r="AY41" s="6773"/>
      <c r="AZ41" s="6774"/>
      <c r="BA41" s="6775" t="s">
        <v>547</v>
      </c>
      <c r="BB41" s="6778" t="s">
        <v>549</v>
      </c>
      <c r="BC41" s="6629"/>
    </row>
    <row r="42" spans="1:60" ht="33.75" customHeight="1">
      <c r="Q42" s="210"/>
      <c r="R42" s="305"/>
      <c r="S42" s="6771"/>
      <c r="T42" s="6723"/>
      <c r="U42" s="938"/>
      <c r="V42" s="6708" t="s">
        <v>635</v>
      </c>
      <c r="W42" s="6709"/>
      <c r="X42" s="6708" t="s">
        <v>636</v>
      </c>
      <c r="Y42" s="6709"/>
      <c r="Z42" s="6708" t="s">
        <v>637</v>
      </c>
      <c r="AA42" s="6796"/>
      <c r="AB42" s="6709"/>
      <c r="AC42" s="6776"/>
      <c r="AD42" s="6803"/>
      <c r="AE42" s="6804"/>
      <c r="AF42" s="6804"/>
      <c r="AG42" s="6805"/>
      <c r="AH42" s="6803"/>
      <c r="AI42" s="6804"/>
      <c r="AJ42" s="6804"/>
      <c r="AK42" s="6805"/>
      <c r="AL42" s="6803"/>
      <c r="AM42" s="6804"/>
      <c r="AN42" s="6804"/>
      <c r="AO42" s="6805"/>
      <c r="AP42" s="6803"/>
      <c r="AQ42" s="6804"/>
      <c r="AR42" s="6804"/>
      <c r="AS42" s="6805"/>
      <c r="AT42" s="6708" t="s">
        <v>635</v>
      </c>
      <c r="AU42" s="6709"/>
      <c r="AV42" s="6708" t="s">
        <v>636</v>
      </c>
      <c r="AW42" s="6709"/>
      <c r="AX42" s="6708" t="s">
        <v>637</v>
      </c>
      <c r="AY42" s="6796"/>
      <c r="AZ42" s="6709"/>
      <c r="BA42" s="6776"/>
      <c r="BB42" s="6779"/>
      <c r="BC42" s="6629"/>
    </row>
    <row r="43" spans="1:60" ht="14.25" customHeight="1">
      <c r="Q43" s="210"/>
      <c r="R43" s="305"/>
      <c r="S43" s="6771"/>
      <c r="T43" s="6723"/>
      <c r="U43" s="938"/>
      <c r="V43" s="6713"/>
      <c r="W43" s="6714"/>
      <c r="X43" s="6713"/>
      <c r="Y43" s="6714"/>
      <c r="Z43" s="6713"/>
      <c r="AA43" s="6797"/>
      <c r="AB43" s="6714"/>
      <c r="AC43" s="6776"/>
      <c r="AD43" s="6803"/>
      <c r="AE43" s="6804"/>
      <c r="AF43" s="6804"/>
      <c r="AG43" s="6805"/>
      <c r="AH43" s="6803"/>
      <c r="AI43" s="6804"/>
      <c r="AJ43" s="6804"/>
      <c r="AK43" s="6805"/>
      <c r="AL43" s="6803"/>
      <c r="AM43" s="6804"/>
      <c r="AN43" s="6804"/>
      <c r="AO43" s="6805"/>
      <c r="AP43" s="6803"/>
      <c r="AQ43" s="6804"/>
      <c r="AR43" s="6804"/>
      <c r="AS43" s="6805"/>
      <c r="AT43" s="6713"/>
      <c r="AU43" s="6714"/>
      <c r="AV43" s="6713"/>
      <c r="AW43" s="6714"/>
      <c r="AX43" s="6713"/>
      <c r="AY43" s="6797"/>
      <c r="AZ43" s="6714"/>
      <c r="BA43" s="6776"/>
      <c r="BB43" s="6779"/>
      <c r="BC43" s="6629"/>
    </row>
    <row r="44" spans="1:60" ht="14.25" customHeight="1">
      <c r="A44" s="1286"/>
      <c r="B44" s="1286" t="s">
        <v>201</v>
      </c>
      <c r="C44" s="1286" t="s">
        <v>202</v>
      </c>
      <c r="D44" s="1286" t="s">
        <v>203</v>
      </c>
      <c r="E44" s="1280" t="s">
        <v>554</v>
      </c>
      <c r="F44" s="1280" t="s">
        <v>555</v>
      </c>
      <c r="G44" s="1280" t="s">
        <v>556</v>
      </c>
      <c r="H44" s="1280" t="s">
        <v>557</v>
      </c>
      <c r="I44" s="1280" t="s">
        <v>558</v>
      </c>
      <c r="J44" s="1280" t="s">
        <v>559</v>
      </c>
      <c r="K44" s="1280" t="s">
        <v>560</v>
      </c>
      <c r="L44" s="1280" t="s">
        <v>535</v>
      </c>
      <c r="Q44" s="210"/>
      <c r="R44" s="305"/>
      <c r="S44" s="6771"/>
      <c r="T44" s="6723"/>
      <c r="U44" s="221"/>
      <c r="V44" s="1388" t="s">
        <v>598</v>
      </c>
      <c r="W44" s="1388" t="s">
        <v>599</v>
      </c>
      <c r="X44" s="1388" t="s">
        <v>598</v>
      </c>
      <c r="Y44" s="1388" t="s">
        <v>599</v>
      </c>
      <c r="Z44" s="1398" t="s">
        <v>563</v>
      </c>
      <c r="AA44" s="6731" t="s">
        <v>564</v>
      </c>
      <c r="AB44" s="6733"/>
      <c r="AC44" s="6777"/>
      <c r="AD44" s="6806"/>
      <c r="AE44" s="6807"/>
      <c r="AF44" s="6807"/>
      <c r="AG44" s="6808"/>
      <c r="AH44" s="6806"/>
      <c r="AI44" s="6807"/>
      <c r="AJ44" s="6807"/>
      <c r="AK44" s="6808"/>
      <c r="AL44" s="6806"/>
      <c r="AM44" s="6807"/>
      <c r="AN44" s="6807"/>
      <c r="AO44" s="6808"/>
      <c r="AP44" s="6806"/>
      <c r="AQ44" s="6807"/>
      <c r="AR44" s="6807"/>
      <c r="AS44" s="6808"/>
      <c r="AT44" s="1388" t="s">
        <v>598</v>
      </c>
      <c r="AU44" s="1388" t="s">
        <v>599</v>
      </c>
      <c r="AV44" s="1388" t="s">
        <v>598</v>
      </c>
      <c r="AW44" s="1388" t="s">
        <v>599</v>
      </c>
      <c r="AX44" s="1398" t="s">
        <v>563</v>
      </c>
      <c r="AY44" s="6731" t="s">
        <v>564</v>
      </c>
      <c r="AZ44" s="6733"/>
      <c r="BA44" s="6777"/>
      <c r="BB44" s="6780"/>
      <c r="BC44" s="6629"/>
    </row>
    <row r="45" spans="1:60" s="1816"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178</v>
      </c>
      <c r="T45" s="1172" t="s">
        <v>98</v>
      </c>
      <c r="U45" s="1154" t="str">
        <f ca="1">OFFSET(U45,0,-1)</f>
        <v>2</v>
      </c>
      <c r="V45" s="1391">
        <f t="shared" ref="V45:AA45" ca="1" si="2">OFFSET(V45,0,-1)+1</f>
        <v>3</v>
      </c>
      <c r="W45" s="1391">
        <f t="shared" ca="1" si="2"/>
        <v>4</v>
      </c>
      <c r="X45" s="1391">
        <f t="shared" ca="1" si="2"/>
        <v>5</v>
      </c>
      <c r="Y45" s="1391">
        <f t="shared" ca="1" si="2"/>
        <v>6</v>
      </c>
      <c r="Z45" s="1391">
        <f t="shared" ca="1" si="2"/>
        <v>7</v>
      </c>
      <c r="AA45" s="6770">
        <f t="shared" ca="1" si="2"/>
        <v>8</v>
      </c>
      <c r="AB45" s="677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6770">
        <f ca="1">OFFSET(AY45,0,-1)+1</f>
        <v>3</v>
      </c>
      <c r="AZ45" s="6770"/>
      <c r="BA45" s="1391">
        <f ca="1">OFFSET(BA45,0,-2)+1</f>
        <v>4</v>
      </c>
      <c r="BB45" s="1154">
        <f ca="1">OFFSET(BB45,0,-1)</f>
        <v>4</v>
      </c>
      <c r="BC45" s="1391">
        <f ca="1">OFFSET(BC45,0,-1)+1</f>
        <v>5</v>
      </c>
      <c r="BD45" s="437"/>
      <c r="BE45" s="437"/>
      <c r="BF45" s="437"/>
      <c r="BG45" s="437"/>
      <c r="BH45" s="437"/>
    </row>
    <row r="46" spans="1:60" ht="21" customHeight="1">
      <c r="A46" s="1279" t="s">
        <v>379</v>
      </c>
      <c r="B46" s="1279"/>
      <c r="C46" s="1279"/>
      <c r="D46" s="1279"/>
      <c r="E46" s="6763">
        <v>1</v>
      </c>
      <c r="F46" s="1279"/>
      <c r="G46" s="1279"/>
      <c r="H46" s="1279"/>
      <c r="I46" s="1279"/>
      <c r="J46" s="1279"/>
      <c r="K46" s="1279"/>
      <c r="L46" s="1280"/>
      <c r="M46" s="1281"/>
      <c r="N46" s="1281"/>
      <c r="O46" s="1281"/>
      <c r="P46" s="1324"/>
      <c r="Q46" s="786"/>
      <c r="R46" s="280"/>
      <c r="S46" s="1402">
        <f>INDEX(PT_DIFFERENTIATION_NUM_NTAR,MATCH(A46,PT_DIFFERENTIATION_NTAR_ID,0))</f>
        <v>0</v>
      </c>
      <c r="T46" s="217" t="s">
        <v>189</v>
      </c>
      <c r="U46" s="219"/>
      <c r="V46" s="6750"/>
      <c r="W46" s="6750"/>
      <c r="X46" s="6750"/>
      <c r="Y46" s="6750"/>
      <c r="Z46" s="6750"/>
      <c r="AA46" s="6750"/>
      <c r="AB46" s="6750"/>
      <c r="AC46" s="6751"/>
      <c r="AD46" s="6749" t="str">
        <f>INDEX(PT_DIFFERENTIATION_NTAR,MATCH(A46,PT_DIFFERENTIATION_NTAR_ID,0))</f>
        <v/>
      </c>
      <c r="AE46" s="6750"/>
      <c r="AF46" s="6750"/>
      <c r="AG46" s="6750"/>
      <c r="AH46" s="6750"/>
      <c r="AI46" s="6750"/>
      <c r="AJ46" s="6750"/>
      <c r="AK46" s="6750"/>
      <c r="AL46" s="6750"/>
      <c r="AM46" s="6750"/>
      <c r="AN46" s="6750"/>
      <c r="AO46" s="6750"/>
      <c r="AP46" s="6750"/>
      <c r="AQ46" s="6750"/>
      <c r="AR46" s="6750"/>
      <c r="AS46" s="6750"/>
      <c r="AT46" s="6750"/>
      <c r="AU46" s="6750"/>
      <c r="AV46" s="6750"/>
      <c r="AW46" s="6750"/>
      <c r="AX46" s="6750"/>
      <c r="AY46" s="6750"/>
      <c r="AZ46" s="6750"/>
      <c r="BA46" s="6750"/>
      <c r="BB46" s="675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379</v>
      </c>
      <c r="B47" s="1279" t="s">
        <v>380</v>
      </c>
      <c r="C47" s="1279"/>
      <c r="D47" s="1279"/>
      <c r="E47" s="6764"/>
      <c r="F47" s="6763">
        <v>1</v>
      </c>
      <c r="G47" s="1279"/>
      <c r="H47" s="1279"/>
      <c r="I47" s="1279"/>
      <c r="J47" s="1279"/>
      <c r="K47" s="1279"/>
      <c r="L47" s="1280"/>
      <c r="M47" s="1281"/>
      <c r="N47" s="1281"/>
      <c r="O47" s="1281"/>
      <c r="P47" s="1325"/>
      <c r="Q47" s="1326"/>
      <c r="R47" s="278"/>
      <c r="S47" s="1402" t="str">
        <f>INDEX(PT_DIFFERENTIATION_NUM_TER,MATCH(B47,PT_DIFFERENTIATION_TER_ID,0))</f>
        <v>.</v>
      </c>
      <c r="T47" s="229" t="s">
        <v>517</v>
      </c>
      <c r="U47" s="219"/>
      <c r="V47" s="6750"/>
      <c r="W47" s="6750"/>
      <c r="X47" s="6750"/>
      <c r="Y47" s="6750"/>
      <c r="Z47" s="6750"/>
      <c r="AA47" s="6750"/>
      <c r="AB47" s="6750"/>
      <c r="AC47" s="6751"/>
      <c r="AD47" s="6749" t="str">
        <f>INDEX(PT_DIFFERENTIATION_TER,MATCH(B47,PT_DIFFERENTIATION_TER_ID,0))</f>
        <v/>
      </c>
      <c r="AE47" s="6750"/>
      <c r="AF47" s="6750"/>
      <c r="AG47" s="6750"/>
      <c r="AH47" s="6750"/>
      <c r="AI47" s="6750"/>
      <c r="AJ47" s="6750"/>
      <c r="AK47" s="6750"/>
      <c r="AL47" s="6750"/>
      <c r="AM47" s="6750"/>
      <c r="AN47" s="6750"/>
      <c r="AO47" s="6750"/>
      <c r="AP47" s="6750"/>
      <c r="AQ47" s="6750"/>
      <c r="AR47" s="6750"/>
      <c r="AS47" s="6750"/>
      <c r="AT47" s="6750"/>
      <c r="AU47" s="6750"/>
      <c r="AV47" s="6750"/>
      <c r="AW47" s="6750"/>
      <c r="AX47" s="6750"/>
      <c r="AY47" s="6750"/>
      <c r="AZ47" s="6750"/>
      <c r="BA47" s="6750"/>
      <c r="BB47" s="6751"/>
      <c r="BC47" s="1177" t="s">
        <v>518</v>
      </c>
      <c r="BE47" s="426"/>
      <c r="BF47" s="426" t="str">
        <f t="shared" si="3"/>
        <v>Территория действия тарифа</v>
      </c>
      <c r="BG47" s="426"/>
      <c r="BH47" s="426"/>
    </row>
    <row r="48" spans="1:60" ht="33.75" customHeight="1">
      <c r="A48" s="1279" t="s">
        <v>379</v>
      </c>
      <c r="B48" s="1279" t="s">
        <v>380</v>
      </c>
      <c r="C48" s="1279" t="s">
        <v>381</v>
      </c>
      <c r="D48" s="1279"/>
      <c r="E48" s="6764"/>
      <c r="F48" s="6764"/>
      <c r="G48" s="6763">
        <v>1</v>
      </c>
      <c r="H48" s="1279"/>
      <c r="I48" s="1279"/>
      <c r="J48" s="1279"/>
      <c r="K48" s="1279"/>
      <c r="L48" s="1280"/>
      <c r="M48" s="1281"/>
      <c r="N48" s="1281"/>
      <c r="O48" s="1281"/>
      <c r="P48" s="1327"/>
      <c r="Q48" s="1326"/>
      <c r="R48" s="278"/>
      <c r="S48" s="1402" t="str">
        <f>INDEX(PT_DIFFERENTIATION_NUM_CS,MATCH(C48,PT_DIFFERENTIATION_CS_ID,0))</f>
        <v>..</v>
      </c>
      <c r="T48" s="230" t="s">
        <v>653</v>
      </c>
      <c r="U48" s="219"/>
      <c r="V48" s="6750"/>
      <c r="W48" s="6750"/>
      <c r="X48" s="6750"/>
      <c r="Y48" s="6750"/>
      <c r="Z48" s="6750"/>
      <c r="AA48" s="6750"/>
      <c r="AB48" s="6750"/>
      <c r="AC48" s="6751"/>
      <c r="AD48" s="6749" t="str">
        <f>INDEX(PT_DIFFERENTIATION_CS,MATCH(C48,PT_DIFFERENTIATION_CS_ID,0))</f>
        <v/>
      </c>
      <c r="AE48" s="6750"/>
      <c r="AF48" s="6750"/>
      <c r="AG48" s="6750"/>
      <c r="AH48" s="6750"/>
      <c r="AI48" s="6750"/>
      <c r="AJ48" s="6750"/>
      <c r="AK48" s="6750"/>
      <c r="AL48" s="6750"/>
      <c r="AM48" s="6750"/>
      <c r="AN48" s="6750"/>
      <c r="AO48" s="6750"/>
      <c r="AP48" s="6750"/>
      <c r="AQ48" s="6750"/>
      <c r="AR48" s="6750"/>
      <c r="AS48" s="6750"/>
      <c r="AT48" s="6750"/>
      <c r="AU48" s="6750"/>
      <c r="AV48" s="6750"/>
      <c r="AW48" s="6750"/>
      <c r="AX48" s="6750"/>
      <c r="AY48" s="6750"/>
      <c r="AZ48" s="6750"/>
      <c r="BA48" s="6750"/>
      <c r="BB48" s="6751"/>
      <c r="BC48" s="1177" t="s">
        <v>654</v>
      </c>
      <c r="BE48" s="426"/>
      <c r="BF48" s="426" t="str">
        <f t="shared" si="3"/>
        <v>Наименование централизованной системы горячего водоснабжения</v>
      </c>
      <c r="BG48" s="426"/>
      <c r="BH48" s="426"/>
    </row>
    <row r="49" spans="1:60" s="1817" customFormat="1" ht="0" hidden="1" customHeight="1">
      <c r="A49" s="1260" t="s">
        <v>379</v>
      </c>
      <c r="B49" s="1260" t="s">
        <v>380</v>
      </c>
      <c r="C49" s="1260" t="s">
        <v>381</v>
      </c>
      <c r="D49" s="1260" t="s">
        <v>661</v>
      </c>
      <c r="E49" s="6764"/>
      <c r="F49" s="6764"/>
      <c r="G49" s="6764"/>
      <c r="H49" s="6763">
        <v>1</v>
      </c>
      <c r="I49" s="1260"/>
      <c r="J49" s="1260"/>
      <c r="K49" s="1260"/>
      <c r="L49" s="1263"/>
      <c r="M49" s="1233"/>
      <c r="N49" s="1233"/>
      <c r="O49" s="1233"/>
      <c r="P49" s="1406"/>
      <c r="Q49" s="1407"/>
      <c r="R49" s="282"/>
      <c r="S49" s="949"/>
      <c r="T49" s="1408"/>
      <c r="U49" s="1300"/>
      <c r="V49" s="6791"/>
      <c r="W49" s="6791"/>
      <c r="X49" s="6791"/>
      <c r="Y49" s="6791"/>
      <c r="Z49" s="6791"/>
      <c r="AA49" s="6791"/>
      <c r="AB49" s="6791"/>
      <c r="AC49" s="6792"/>
      <c r="AD49" s="6790"/>
      <c r="AE49" s="6791"/>
      <c r="AF49" s="6791"/>
      <c r="AG49" s="6791"/>
      <c r="AH49" s="6791"/>
      <c r="AI49" s="6791"/>
      <c r="AJ49" s="6791"/>
      <c r="AK49" s="6791"/>
      <c r="AL49" s="6791"/>
      <c r="AM49" s="6791"/>
      <c r="AN49" s="6791"/>
      <c r="AO49" s="6791"/>
      <c r="AP49" s="6791"/>
      <c r="AQ49" s="6791"/>
      <c r="AR49" s="6791"/>
      <c r="AS49" s="6791"/>
      <c r="AT49" s="6791"/>
      <c r="AU49" s="6791"/>
      <c r="AV49" s="6791"/>
      <c r="AW49" s="6791"/>
      <c r="AX49" s="6791"/>
      <c r="AY49" s="6791"/>
      <c r="AZ49" s="6791"/>
      <c r="BA49" s="6791"/>
      <c r="BB49" s="6792"/>
      <c r="BC49" s="1301" t="s">
        <v>522</v>
      </c>
      <c r="BE49" s="426"/>
      <c r="BF49" s="426" t="str">
        <f t="shared" si="3"/>
        <v/>
      </c>
      <c r="BG49" s="426"/>
      <c r="BH49" s="426"/>
    </row>
    <row r="50" spans="1:60" s="1817" customFormat="1" ht="0" hidden="1" customHeight="1">
      <c r="A50" s="1260" t="s">
        <v>379</v>
      </c>
      <c r="B50" s="1260" t="s">
        <v>380</v>
      </c>
      <c r="C50" s="1260" t="s">
        <v>381</v>
      </c>
      <c r="D50" s="1260" t="s">
        <v>661</v>
      </c>
      <c r="E50" s="6764"/>
      <c r="F50" s="6764"/>
      <c r="G50" s="6764"/>
      <c r="H50" s="6764"/>
      <c r="I50" s="6761" t="str">
        <f>S49&amp;".1"</f>
        <v>.1</v>
      </c>
      <c r="J50" s="1260"/>
      <c r="K50" s="1260"/>
      <c r="L50" s="1263" t="s">
        <v>523</v>
      </c>
      <c r="M50" s="436"/>
      <c r="N50" s="436"/>
      <c r="O50" s="436"/>
      <c r="P50" s="6762">
        <v>1</v>
      </c>
      <c r="Q50" s="1390"/>
      <c r="R50" s="281"/>
      <c r="S50" s="949"/>
      <c r="T50" s="1299"/>
      <c r="U50" s="1300"/>
      <c r="V50" s="6791"/>
      <c r="W50" s="6791"/>
      <c r="X50" s="6791"/>
      <c r="Y50" s="6791"/>
      <c r="Z50" s="6791"/>
      <c r="AA50" s="6791"/>
      <c r="AB50" s="6791"/>
      <c r="AC50" s="6792"/>
      <c r="AD50" s="6790"/>
      <c r="AE50" s="6791"/>
      <c r="AF50" s="6791"/>
      <c r="AG50" s="6791"/>
      <c r="AH50" s="6791"/>
      <c r="AI50" s="6791"/>
      <c r="AJ50" s="6791"/>
      <c r="AK50" s="6791"/>
      <c r="AL50" s="6791"/>
      <c r="AM50" s="6791"/>
      <c r="AN50" s="6791"/>
      <c r="AO50" s="6791"/>
      <c r="AP50" s="6791"/>
      <c r="AQ50" s="6791"/>
      <c r="AR50" s="6791"/>
      <c r="AS50" s="6791"/>
      <c r="AT50" s="6791"/>
      <c r="AU50" s="6791"/>
      <c r="AV50" s="6791"/>
      <c r="AW50" s="6791"/>
      <c r="AX50" s="6791"/>
      <c r="AY50" s="6791"/>
      <c r="AZ50" s="6791"/>
      <c r="BA50" s="6791"/>
      <c r="BB50" s="6792"/>
      <c r="BC50" s="1301"/>
      <c r="BE50" s="426"/>
      <c r="BF50" s="426" t="str">
        <f t="shared" si="3"/>
        <v/>
      </c>
      <c r="BG50" s="426"/>
      <c r="BH50" s="426"/>
    </row>
    <row r="51" spans="1:60" s="1817" customFormat="1" ht="0" hidden="1" customHeight="1">
      <c r="A51" s="1260" t="s">
        <v>379</v>
      </c>
      <c r="B51" s="1260" t="s">
        <v>380</v>
      </c>
      <c r="C51" s="1260" t="s">
        <v>381</v>
      </c>
      <c r="D51" s="1260" t="s">
        <v>661</v>
      </c>
      <c r="E51" s="6764"/>
      <c r="F51" s="6764"/>
      <c r="G51" s="6764"/>
      <c r="H51" s="6764"/>
      <c r="I51" s="6784"/>
      <c r="J51" s="6761" t="str">
        <f>S49&amp;".1"</f>
        <v>.1</v>
      </c>
      <c r="K51" s="1260"/>
      <c r="L51" s="1263"/>
      <c r="M51" s="436"/>
      <c r="N51" s="436"/>
      <c r="O51" s="436"/>
      <c r="P51" s="6762"/>
      <c r="Q51" s="6762">
        <v>1</v>
      </c>
      <c r="R51" s="282"/>
      <c r="S51" s="949"/>
      <c r="T51" s="1315"/>
      <c r="U51" s="1300"/>
      <c r="V51" s="6791"/>
      <c r="W51" s="6791"/>
      <c r="X51" s="6791"/>
      <c r="Y51" s="6791"/>
      <c r="Z51" s="6791"/>
      <c r="AA51" s="6791"/>
      <c r="AB51" s="6791"/>
      <c r="AC51" s="6792"/>
      <c r="AD51" s="6790"/>
      <c r="AE51" s="6791"/>
      <c r="AF51" s="6791"/>
      <c r="AG51" s="6791"/>
      <c r="AH51" s="6791"/>
      <c r="AI51" s="6791"/>
      <c r="AJ51" s="6791"/>
      <c r="AK51" s="6791"/>
      <c r="AL51" s="6791"/>
      <c r="AM51" s="6791"/>
      <c r="AN51" s="6837"/>
      <c r="AO51" s="6837"/>
      <c r="AP51" s="6791"/>
      <c r="AQ51" s="6791"/>
      <c r="AR51" s="6791"/>
      <c r="AS51" s="6791"/>
      <c r="AT51" s="6791"/>
      <c r="AU51" s="6791"/>
      <c r="AV51" s="6791"/>
      <c r="AW51" s="6791"/>
      <c r="AX51" s="6791"/>
      <c r="AY51" s="6791"/>
      <c r="AZ51" s="6791"/>
      <c r="BA51" s="6791"/>
      <c r="BB51" s="6792"/>
      <c r="BC51" s="1301"/>
      <c r="BE51" s="426"/>
      <c r="BF51" s="426" t="str">
        <f t="shared" si="3"/>
        <v/>
      </c>
      <c r="BG51" s="426"/>
      <c r="BH51" s="426"/>
    </row>
    <row r="52" spans="1:60" ht="11.25" customHeight="1">
      <c r="A52" s="1279" t="s">
        <v>379</v>
      </c>
      <c r="B52" s="1279" t="s">
        <v>380</v>
      </c>
      <c r="C52" s="1279" t="s">
        <v>381</v>
      </c>
      <c r="D52" s="1279" t="s">
        <v>661</v>
      </c>
      <c r="E52" s="6764"/>
      <c r="F52" s="6764"/>
      <c r="G52" s="6764"/>
      <c r="H52" s="6764"/>
      <c r="I52" s="6784"/>
      <c r="J52" s="6784"/>
      <c r="K52" s="6761" t="str">
        <f>S48&amp;".1"</f>
        <v>...1</v>
      </c>
      <c r="L52" s="1280"/>
      <c r="P52" s="6762"/>
      <c r="Q52" s="6762"/>
      <c r="R52" s="282">
        <v>1</v>
      </c>
      <c r="S52" s="6813" t="str">
        <f>$K52</f>
        <v>...1</v>
      </c>
      <c r="T52" s="6833"/>
      <c r="U52" s="219"/>
      <c r="V52" s="668"/>
      <c r="W52" s="1176"/>
      <c r="X52" s="668"/>
      <c r="Y52" s="1176"/>
      <c r="Z52" s="1643"/>
      <c r="AA52" s="1379" t="s">
        <v>61</v>
      </c>
      <c r="AB52" s="1643"/>
      <c r="AC52" s="1379" t="s">
        <v>61</v>
      </c>
      <c r="AD52" s="6688" t="s">
        <v>61</v>
      </c>
      <c r="AE52" s="6799"/>
      <c r="AF52" s="6718">
        <v>1</v>
      </c>
      <c r="AG52" s="6836"/>
      <c r="AH52" s="6610" t="s">
        <v>61</v>
      </c>
      <c r="AI52" s="6799"/>
      <c r="AJ52" s="6718">
        <v>1</v>
      </c>
      <c r="AK52" s="6820" t="s">
        <v>24</v>
      </c>
      <c r="AL52" s="6610" t="s">
        <v>61</v>
      </c>
      <c r="AM52" s="6708"/>
      <c r="AN52" s="6718">
        <v>1</v>
      </c>
      <c r="AO52" s="6830"/>
      <c r="AP52" s="6831" t="s">
        <v>61</v>
      </c>
      <c r="AQ52" s="232"/>
      <c r="AR52" s="1395">
        <v>1</v>
      </c>
      <c r="AS52" s="1401" t="s">
        <v>24</v>
      </c>
      <c r="AT52" s="668"/>
      <c r="AU52" s="1176"/>
      <c r="AV52" s="668"/>
      <c r="AW52" s="1176"/>
      <c r="AX52" s="1643"/>
      <c r="AY52" s="1379" t="s">
        <v>61</v>
      </c>
      <c r="AZ52" s="1643"/>
      <c r="BA52" s="1379" t="s">
        <v>61</v>
      </c>
      <c r="BB52" s="1265"/>
      <c r="BC52" s="6758" t="s">
        <v>624</v>
      </c>
      <c r="BE52" s="426"/>
      <c r="BF52" s="426" t="str">
        <f t="shared" si="3"/>
        <v/>
      </c>
      <c r="BG52" s="426"/>
      <c r="BH52" s="426"/>
    </row>
    <row r="53" spans="1:60" ht="11.25" customHeight="1">
      <c r="A53" s="1279"/>
      <c r="B53" s="1279"/>
      <c r="C53" s="1279"/>
      <c r="D53" s="1279"/>
      <c r="E53" s="6764"/>
      <c r="F53" s="6764"/>
      <c r="G53" s="6764"/>
      <c r="H53" s="6764"/>
      <c r="I53" s="6784"/>
      <c r="J53" s="6784"/>
      <c r="K53" s="6761"/>
      <c r="L53" s="1280"/>
      <c r="P53" s="6762"/>
      <c r="Q53" s="6762"/>
      <c r="R53" s="282"/>
      <c r="S53" s="6814"/>
      <c r="T53" s="6834"/>
      <c r="U53" s="219"/>
      <c r="V53" s="1309"/>
      <c r="W53" s="1405"/>
      <c r="X53" s="1309"/>
      <c r="Y53" s="1405"/>
      <c r="Z53" s="1309"/>
      <c r="AA53" s="1309"/>
      <c r="AB53" s="1309"/>
      <c r="AC53" s="1309"/>
      <c r="AD53" s="6689"/>
      <c r="AE53" s="6799"/>
      <c r="AF53" s="6718"/>
      <c r="AG53" s="6836"/>
      <c r="AH53" s="6610"/>
      <c r="AI53" s="6799"/>
      <c r="AJ53" s="6718"/>
      <c r="AK53" s="6820"/>
      <c r="AL53" s="6610"/>
      <c r="AM53" s="6713"/>
      <c r="AN53" s="6718"/>
      <c r="AO53" s="6830"/>
      <c r="AP53" s="6832"/>
      <c r="AQ53" s="239"/>
      <c r="AR53" s="350"/>
      <c r="AS53" s="350" t="s">
        <v>625</v>
      </c>
      <c r="AT53" s="1309"/>
      <c r="AU53" s="1405"/>
      <c r="AV53" s="1309"/>
      <c r="AW53" s="1405"/>
      <c r="AX53" s="1309"/>
      <c r="AY53" s="1309"/>
      <c r="AZ53" s="1309"/>
      <c r="BA53" s="1309"/>
      <c r="BB53" s="1313"/>
      <c r="BC53" s="6759"/>
      <c r="BE53" s="426"/>
      <c r="BF53" s="426"/>
      <c r="BG53" s="426"/>
      <c r="BH53" s="426"/>
    </row>
    <row r="54" spans="1:60" ht="11.25" customHeight="1">
      <c r="A54" s="1279" t="s">
        <v>379</v>
      </c>
      <c r="B54" s="1279"/>
      <c r="C54" s="1279"/>
      <c r="D54" s="1279"/>
      <c r="E54" s="6764"/>
      <c r="F54" s="6764"/>
      <c r="G54" s="6764"/>
      <c r="H54" s="6764"/>
      <c r="I54" s="6784"/>
      <c r="J54" s="6784"/>
      <c r="K54" s="6761"/>
      <c r="L54" s="1280"/>
      <c r="P54" s="6762"/>
      <c r="Q54" s="6762"/>
      <c r="R54" s="282"/>
      <c r="S54" s="6814"/>
      <c r="T54" s="6834"/>
      <c r="U54" s="219"/>
      <c r="V54" s="1309"/>
      <c r="W54" s="1405"/>
      <c r="X54" s="1309"/>
      <c r="Y54" s="1405"/>
      <c r="Z54" s="1309"/>
      <c r="AA54" s="1309"/>
      <c r="AB54" s="1309"/>
      <c r="AC54" s="1309"/>
      <c r="AD54" s="6689"/>
      <c r="AE54" s="6799"/>
      <c r="AF54" s="6718"/>
      <c r="AG54" s="6836"/>
      <c r="AH54" s="6610"/>
      <c r="AI54" s="6799"/>
      <c r="AJ54" s="6718"/>
      <c r="AK54" s="6820"/>
      <c r="AL54" s="6610"/>
      <c r="AM54" s="239"/>
      <c r="AN54" s="1409"/>
      <c r="AO54" s="1409" t="s">
        <v>626</v>
      </c>
      <c r="AP54" s="350"/>
      <c r="AQ54" s="350"/>
      <c r="AR54" s="350"/>
      <c r="AS54" s="1309"/>
      <c r="AT54" s="1309"/>
      <c r="AU54" s="1405"/>
      <c r="AV54" s="1309"/>
      <c r="AW54" s="1405"/>
      <c r="AX54" s="1309"/>
      <c r="AY54" s="1309"/>
      <c r="AZ54" s="1309"/>
      <c r="BA54" s="1309"/>
      <c r="BB54" s="1313"/>
      <c r="BC54" s="6759"/>
      <c r="BE54" s="426"/>
      <c r="BF54" s="426"/>
      <c r="BG54" s="426"/>
      <c r="BH54" s="426"/>
    </row>
    <row r="55" spans="1:60" ht="11.25" customHeight="1">
      <c r="A55" s="1279" t="s">
        <v>379</v>
      </c>
      <c r="B55" s="1279"/>
      <c r="C55" s="1279"/>
      <c r="D55" s="1279"/>
      <c r="E55" s="6764"/>
      <c r="F55" s="6764"/>
      <c r="G55" s="6764"/>
      <c r="H55" s="6764"/>
      <c r="I55" s="6784"/>
      <c r="J55" s="6784"/>
      <c r="K55" s="6761"/>
      <c r="L55" s="1280"/>
      <c r="P55" s="6762"/>
      <c r="Q55" s="6762"/>
      <c r="R55" s="282"/>
      <c r="S55" s="6814"/>
      <c r="T55" s="6834"/>
      <c r="U55" s="219"/>
      <c r="V55" s="1309"/>
      <c r="W55" s="1405"/>
      <c r="X55" s="1309"/>
      <c r="Y55" s="1405"/>
      <c r="Z55" s="1309"/>
      <c r="AA55" s="1309"/>
      <c r="AB55" s="1309"/>
      <c r="AC55" s="1309"/>
      <c r="AD55" s="6689"/>
      <c r="AE55" s="6799"/>
      <c r="AF55" s="6718"/>
      <c r="AG55" s="6836"/>
      <c r="AH55" s="6610"/>
      <c r="AI55" s="213"/>
      <c r="AJ55" s="349"/>
      <c r="AK55" s="234" t="s">
        <v>627</v>
      </c>
      <c r="AL55" s="1309"/>
      <c r="AM55" s="1309"/>
      <c r="AN55" s="1309"/>
      <c r="AO55" s="1309"/>
      <c r="AP55" s="1309"/>
      <c r="AQ55" s="1309"/>
      <c r="AR55" s="1309"/>
      <c r="AS55" s="1309"/>
      <c r="AT55" s="1309"/>
      <c r="AU55" s="1405"/>
      <c r="AV55" s="1309"/>
      <c r="AW55" s="1405"/>
      <c r="AX55" s="1309"/>
      <c r="AY55" s="1309"/>
      <c r="AZ55" s="1309"/>
      <c r="BA55" s="1309"/>
      <c r="BB55" s="1313"/>
      <c r="BC55" s="6759"/>
      <c r="BE55" s="426"/>
      <c r="BF55" s="426"/>
      <c r="BG55" s="426"/>
      <c r="BH55" s="426"/>
    </row>
    <row r="56" spans="1:60" ht="11.25" customHeight="1">
      <c r="A56" s="1279" t="s">
        <v>379</v>
      </c>
      <c r="B56" s="1279" t="s">
        <v>380</v>
      </c>
      <c r="C56" s="1279" t="s">
        <v>381</v>
      </c>
      <c r="D56" s="1279" t="s">
        <v>661</v>
      </c>
      <c r="E56" s="6764"/>
      <c r="F56" s="6764"/>
      <c r="G56" s="6764"/>
      <c r="H56" s="6764"/>
      <c r="I56" s="6784"/>
      <c r="J56" s="6784"/>
      <c r="K56" s="6761"/>
      <c r="L56" s="1280"/>
      <c r="P56" s="6762"/>
      <c r="Q56" s="6762"/>
      <c r="R56" s="282"/>
      <c r="S56" s="6815"/>
      <c r="T56" s="6835"/>
      <c r="U56" s="219"/>
      <c r="V56" s="1309"/>
      <c r="W56" s="1310" t="str">
        <f>Z52&amp;"-"&amp;AB52</f>
        <v>-</v>
      </c>
      <c r="X56" s="1309"/>
      <c r="Y56" s="1310" t="str">
        <f>AB52&amp;"-"&amp;AD52</f>
        <v>-да</v>
      </c>
      <c r="Z56" s="1309"/>
      <c r="AA56" s="1309"/>
      <c r="AB56" s="1309"/>
      <c r="AC56" s="1309"/>
      <c r="AD56" s="6615"/>
      <c r="AE56" s="233"/>
      <c r="AF56" s="235"/>
      <c r="AG56" s="350" t="s">
        <v>628</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6759"/>
      <c r="BE56" s="426"/>
      <c r="BF56" s="426" t="str">
        <f t="shared" ref="BF56:BF63" si="4">IF(T56="","",T56)</f>
        <v/>
      </c>
      <c r="BG56" s="426"/>
      <c r="BH56" s="426"/>
    </row>
    <row r="57" spans="1:60" ht="11.25" customHeight="1">
      <c r="A57" s="1279" t="s">
        <v>379</v>
      </c>
      <c r="B57" s="1279" t="s">
        <v>380</v>
      </c>
      <c r="C57" s="1279" t="s">
        <v>381</v>
      </c>
      <c r="D57" s="1279" t="s">
        <v>661</v>
      </c>
      <c r="E57" s="6764"/>
      <c r="F57" s="6764"/>
      <c r="G57" s="6764"/>
      <c r="H57" s="6764"/>
      <c r="I57" s="6784"/>
      <c r="J57" s="6761"/>
      <c r="K57" s="1279"/>
      <c r="L57" s="1280"/>
      <c r="P57" s="6762"/>
      <c r="Q57" s="6762"/>
      <c r="R57" s="281"/>
      <c r="S57" s="1198"/>
      <c r="T57" s="206" t="s">
        <v>586</v>
      </c>
      <c r="U57" s="295"/>
      <c r="V57" s="295"/>
      <c r="W57" s="295"/>
      <c r="X57" s="295"/>
      <c r="Y57" s="295"/>
      <c r="Z57" s="295"/>
      <c r="AA57" s="295"/>
      <c r="AB57" s="295"/>
      <c r="AC57" s="250"/>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6760"/>
      <c r="BE57" s="426"/>
      <c r="BF57" s="426" t="str">
        <f t="shared" si="4"/>
        <v>Добавить строку</v>
      </c>
      <c r="BG57" s="426"/>
      <c r="BH57" s="426"/>
    </row>
    <row r="58" spans="1:60" s="1817" customFormat="1" ht="0" hidden="1" customHeight="1">
      <c r="A58" s="1260" t="s">
        <v>379</v>
      </c>
      <c r="B58" s="1260" t="s">
        <v>380</v>
      </c>
      <c r="C58" s="1260" t="s">
        <v>381</v>
      </c>
      <c r="D58" s="1260" t="s">
        <v>661</v>
      </c>
      <c r="E58" s="6764"/>
      <c r="F58" s="6764"/>
      <c r="G58" s="6764"/>
      <c r="H58" s="6764"/>
      <c r="I58" s="6761"/>
      <c r="J58" s="1260"/>
      <c r="K58" s="1260"/>
      <c r="L58" s="1263"/>
      <c r="M58" s="436"/>
      <c r="N58" s="436"/>
      <c r="O58" s="436"/>
      <c r="P58" s="6762"/>
      <c r="Q58" s="1390"/>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17" customFormat="1" ht="0" hidden="1" customHeight="1">
      <c r="A59" s="1260" t="s">
        <v>379</v>
      </c>
      <c r="B59" s="1260" t="s">
        <v>380</v>
      </c>
      <c r="C59" s="1260" t="s">
        <v>381</v>
      </c>
      <c r="D59" s="1260" t="s">
        <v>661</v>
      </c>
      <c r="E59" s="6764"/>
      <c r="F59" s="6764"/>
      <c r="G59" s="6764"/>
      <c r="H59" s="6763"/>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067" customFormat="1" ht="0" hidden="1" customHeight="1">
      <c r="A60" s="1260" t="s">
        <v>379</v>
      </c>
      <c r="B60" s="1260" t="s">
        <v>380</v>
      </c>
      <c r="C60" s="1260" t="s">
        <v>381</v>
      </c>
      <c r="D60" s="1232"/>
      <c r="E60" s="6764"/>
      <c r="F60" s="6764"/>
      <c r="G60" s="6763"/>
      <c r="H60" s="1232"/>
      <c r="I60" s="1232"/>
      <c r="J60" s="1232"/>
      <c r="K60" s="1232"/>
      <c r="L60" s="1403"/>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067" customFormat="1" ht="0" hidden="1" customHeight="1">
      <c r="A61" s="1260" t="s">
        <v>379</v>
      </c>
      <c r="B61" s="1260" t="s">
        <v>380</v>
      </c>
      <c r="C61" s="1232"/>
      <c r="D61" s="1232"/>
      <c r="E61" s="6764"/>
      <c r="F61" s="6763"/>
      <c r="G61" s="1232"/>
      <c r="H61" s="1232"/>
      <c r="I61" s="1232"/>
      <c r="J61" s="1232"/>
      <c r="K61" s="1232"/>
      <c r="L61" s="1403"/>
      <c r="M61" s="1239"/>
      <c r="N61" s="1239"/>
      <c r="P61" s="1234"/>
      <c r="Q61" s="1235"/>
      <c r="R61" s="1234"/>
      <c r="S61" s="1240"/>
      <c r="T61" s="1243" t="s">
        <v>229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17" customFormat="1" ht="0" hidden="1" customHeight="1">
      <c r="A62" s="1260" t="s">
        <v>379</v>
      </c>
      <c r="B62" s="1260"/>
      <c r="C62" s="1260"/>
      <c r="D62" s="1260"/>
      <c r="E62" s="6763"/>
      <c r="F62" s="1260"/>
      <c r="G62" s="1260"/>
      <c r="H62" s="1260"/>
      <c r="I62" s="1260"/>
      <c r="J62" s="1260"/>
      <c r="K62" s="1260"/>
      <c r="L62" s="1263"/>
      <c r="M62" s="1239"/>
      <c r="N62" s="1239"/>
      <c r="O62" s="444"/>
      <c r="P62" s="313"/>
      <c r="Q62" s="1261"/>
      <c r="R62" s="313"/>
      <c r="S62" s="1240"/>
      <c r="T62" s="1243" t="s">
        <v>272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067" customFormat="1" ht="0" hidden="1" customHeight="1">
      <c r="A63" s="1232"/>
      <c r="B63" s="1232"/>
      <c r="C63" s="1232"/>
      <c r="D63" s="1232"/>
      <c r="E63" s="1260"/>
      <c r="F63" s="1232"/>
      <c r="G63" s="1232"/>
      <c r="H63" s="1232"/>
      <c r="I63" s="1232"/>
      <c r="J63" s="1232"/>
      <c r="K63" s="1232"/>
      <c r="L63" s="1403"/>
      <c r="M63" s="1239"/>
      <c r="N63" s="1239"/>
      <c r="P63" s="1234"/>
      <c r="Q63" s="1235"/>
      <c r="R63" s="1234"/>
      <c r="S63" s="1240"/>
      <c r="T63" s="1243" t="s">
        <v>273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6783"/>
      <c r="U65" s="6783"/>
      <c r="V65" s="6783"/>
      <c r="W65" s="6783"/>
      <c r="X65" s="6783"/>
      <c r="Y65" s="6783"/>
      <c r="Z65" s="6783"/>
      <c r="AA65" s="6783"/>
      <c r="AB65" s="6783"/>
      <c r="AC65" s="6783"/>
      <c r="AD65" s="6783"/>
      <c r="AE65" s="6783"/>
      <c r="AF65" s="6783"/>
      <c r="AG65" s="6783"/>
      <c r="AH65" s="6783"/>
      <c r="AI65" s="6783"/>
      <c r="AJ65" s="6783"/>
      <c r="AK65" s="6783"/>
      <c r="AL65" s="6783"/>
      <c r="AM65" s="6783"/>
      <c r="AN65" s="6783"/>
      <c r="AO65" s="6783"/>
      <c r="AP65" s="6783"/>
      <c r="AQ65" s="6783"/>
      <c r="AR65" s="6783"/>
      <c r="AS65" s="6783"/>
      <c r="AT65" s="6783"/>
      <c r="AU65" s="6783"/>
      <c r="AV65" s="6783"/>
      <c r="AW65" s="6783"/>
      <c r="AX65" s="6783"/>
      <c r="AY65" s="6783"/>
      <c r="AZ65" s="6783"/>
      <c r="BA65" s="6783"/>
      <c r="BB65" s="6783"/>
      <c r="BC65" s="6783"/>
    </row>
    <row r="66" spans="15:55" ht="14.25" customHeight="1">
      <c r="O66" s="462"/>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8.75" customHeight="1">
      <c r="O67" s="462"/>
      <c r="S67" s="1164"/>
      <c r="T67" s="6783"/>
      <c r="U67" s="6783"/>
      <c r="V67" s="6783"/>
      <c r="W67" s="6783"/>
      <c r="X67" s="6783"/>
      <c r="Y67" s="6783"/>
      <c r="Z67" s="6783"/>
      <c r="AA67" s="6783"/>
      <c r="AB67" s="6783"/>
      <c r="AC67" s="6783"/>
      <c r="AD67" s="6783"/>
      <c r="AE67" s="6783"/>
      <c r="AF67" s="6783"/>
      <c r="AG67" s="6783"/>
      <c r="AH67" s="6783"/>
      <c r="AI67" s="6783"/>
      <c r="AJ67" s="6783"/>
      <c r="AK67" s="6783"/>
      <c r="AL67" s="6783"/>
      <c r="AM67" s="6783"/>
      <c r="AN67" s="6783"/>
      <c r="AO67" s="6783"/>
      <c r="AP67" s="6783"/>
      <c r="AQ67" s="6783"/>
      <c r="AR67" s="6783"/>
      <c r="AS67" s="6783"/>
      <c r="AT67" s="6783"/>
      <c r="AU67" s="6783"/>
      <c r="AV67" s="6783"/>
      <c r="AW67" s="6783"/>
      <c r="AX67" s="6783"/>
      <c r="AY67" s="6783"/>
      <c r="AZ67" s="6783"/>
      <c r="BA67" s="6783"/>
      <c r="BB67" s="6783"/>
      <c r="BC67" s="6783"/>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73"/>
  <sheetViews>
    <sheetView showGridLines="0" topLeftCell="C2" zoomScale="90" workbookViewId="0">
      <selection activeCell="G57" sqref="G57"/>
    </sheetView>
  </sheetViews>
  <sheetFormatPr defaultColWidth="9.140625" defaultRowHeight="14.25" customHeight="1"/>
  <cols>
    <col min="1" max="1" width="8" style="1820" hidden="1" customWidth="1"/>
    <col min="2" max="2" width="6" style="1821" hidden="1" customWidth="1"/>
    <col min="3" max="3" width="3.7109375" style="1820" customWidth="1"/>
    <col min="4" max="4" width="3.7109375" style="1833" customWidth="1"/>
    <col min="5" max="5" width="6.28515625" style="1834" customWidth="1"/>
    <col min="6" max="6" width="2.7109375" style="1820" hidden="1" customWidth="1"/>
    <col min="7" max="7" width="46.7109375" style="1834" customWidth="1"/>
    <col min="8" max="8" width="43.140625" style="1834" customWidth="1"/>
    <col min="9" max="9" width="14.85546875" style="1834" customWidth="1"/>
    <col min="10" max="10" width="3.7109375" style="1823" customWidth="1"/>
    <col min="11" max="13" width="9.140625" style="1823" hidden="1"/>
    <col min="14" max="14" width="25.7109375" style="1824" hidden="1" customWidth="1"/>
    <col min="15" max="15" width="14.42578125" style="1823" hidden="1" customWidth="1"/>
    <col min="16" max="19" width="9.140625" style="1825" hidden="1"/>
    <col min="20" max="27" width="9.140625" style="1834" hidden="1"/>
    <col min="28" max="28" width="9.140625" style="1834"/>
  </cols>
  <sheetData>
    <row r="1" spans="1:28" s="1815"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18"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19" customFormat="1" ht="3" customHeight="1">
      <c r="A3" s="675"/>
      <c r="B3" s="351"/>
      <c r="C3" s="675"/>
      <c r="D3" s="85"/>
      <c r="E3" s="35"/>
      <c r="F3" s="435"/>
      <c r="G3" s="35"/>
      <c r="H3" s="35"/>
      <c r="I3" s="87"/>
      <c r="J3" s="166"/>
      <c r="K3" s="77"/>
      <c r="L3" s="77"/>
      <c r="M3" s="77"/>
      <c r="N3" s="147"/>
      <c r="O3" s="77"/>
      <c r="P3" s="146"/>
      <c r="Q3" s="146"/>
      <c r="R3" s="146"/>
      <c r="S3" s="146"/>
    </row>
    <row r="4" spans="1:28" s="1819" customFormat="1" ht="25.5" customHeight="1">
      <c r="A4" s="675"/>
      <c r="B4" s="351"/>
      <c r="C4" s="675"/>
      <c r="D4" s="85"/>
      <c r="E4" s="6604" t="str">
        <f>NameTemplatesInListMO</f>
        <v>Перечень муниципальных районов и муниципальных образований (территорий действия тарифа)</v>
      </c>
      <c r="F4" s="6604"/>
      <c r="G4" s="6604"/>
      <c r="H4" s="6604"/>
      <c r="I4" s="6604"/>
      <c r="J4" s="166"/>
      <c r="K4" s="77"/>
      <c r="L4" s="77"/>
      <c r="M4" s="77"/>
      <c r="N4" s="147"/>
      <c r="O4" s="77"/>
      <c r="P4" s="146"/>
      <c r="Q4" s="146"/>
      <c r="R4" s="146"/>
      <c r="S4" s="146"/>
    </row>
    <row r="5" spans="1:28" s="1819" customFormat="1" ht="3" customHeight="1">
      <c r="A5" s="675"/>
      <c r="B5" s="351"/>
      <c r="C5" s="675"/>
      <c r="D5" s="85"/>
      <c r="E5" s="35"/>
      <c r="F5" s="435"/>
      <c r="G5" s="88"/>
      <c r="H5" s="88"/>
      <c r="I5" s="89"/>
      <c r="J5" s="77"/>
      <c r="K5" s="77"/>
      <c r="L5" s="77"/>
      <c r="M5" s="77"/>
      <c r="N5" s="147"/>
      <c r="O5" s="77"/>
      <c r="P5" s="146"/>
      <c r="Q5" s="146"/>
      <c r="R5" s="146"/>
      <c r="S5" s="146"/>
    </row>
    <row r="6" spans="1:28" s="1819"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19" customFormat="1" ht="14.25" customHeight="1">
      <c r="A8" s="675"/>
      <c r="B8" s="351"/>
      <c r="C8" s="675"/>
      <c r="D8" s="85"/>
      <c r="E8" s="6600" t="s">
        <v>85</v>
      </c>
      <c r="F8" s="6605"/>
      <c r="G8" s="6599"/>
      <c r="H8" s="6606" t="s">
        <v>86</v>
      </c>
      <c r="I8" s="6606"/>
      <c r="J8" s="77"/>
      <c r="K8" s="77"/>
      <c r="L8" s="77"/>
      <c r="M8" s="77"/>
      <c r="N8" s="147"/>
      <c r="O8" s="77"/>
      <c r="P8" s="146"/>
      <c r="Q8" s="146"/>
      <c r="R8" s="146"/>
      <c r="S8" s="146"/>
    </row>
    <row r="9" spans="1:28" s="1819"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19"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26" customFormat="1" ht="14.25" customHeight="1">
      <c r="A12" s="6603">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28" customFormat="1" ht="15" customHeight="1">
      <c r="A13" s="6603"/>
      <c r="B13" s="351">
        <v>1</v>
      </c>
      <c r="C13" s="351"/>
      <c r="D13" s="717"/>
      <c r="E13" s="697" t="str">
        <f>A12&amp;"."&amp;B13</f>
        <v>1.1</v>
      </c>
      <c r="F13" s="712" t="s">
        <v>98</v>
      </c>
      <c r="G13" s="710" t="s">
        <v>99</v>
      </c>
      <c r="H13" s="710" t="s">
        <v>99</v>
      </c>
      <c r="I13" s="708" t="s">
        <v>100</v>
      </c>
      <c r="J13" s="426" t="e">
        <f ca="1">MERGEVALUE(G13)</f>
        <v>#NAME?</v>
      </c>
      <c r="K13" s="437"/>
      <c r="L13" s="437"/>
      <c r="M13" s="426" t="str">
        <f t="array" ref="M13">IF(ISERROR(MATCH(MID(N13,1,250),MID(note_ter,1,250),0)),"n","y")</f>
        <v>n</v>
      </c>
      <c r="N13" s="437"/>
      <c r="O13" s="426" t="str">
        <f>H13&amp;"("&amp;I13&amp;")"</f>
        <v>Волжский муниципальный район(88604000)</v>
      </c>
      <c r="P13" s="351"/>
      <c r="Q13" s="351"/>
      <c r="R13" s="353"/>
      <c r="S13" s="351"/>
      <c r="T13" s="351"/>
      <c r="U13" s="351"/>
      <c r="V13" s="355"/>
      <c r="W13" s="355"/>
      <c r="X13" s="352"/>
      <c r="Y13" s="352"/>
      <c r="Z13" s="352"/>
      <c r="AA13" s="352"/>
      <c r="AB13" s="352"/>
    </row>
    <row r="14" spans="1:28" s="1828" customFormat="1" ht="15" customHeight="1">
      <c r="A14" s="6603"/>
      <c r="B14" s="351"/>
      <c r="C14" s="346"/>
      <c r="D14" s="718"/>
      <c r="E14" s="354"/>
      <c r="F14" s="98"/>
      <c r="G14" s="349" t="s">
        <v>101</v>
      </c>
      <c r="H14" s="108"/>
      <c r="I14" s="357"/>
      <c r="J14" s="437"/>
      <c r="K14" s="437"/>
      <c r="L14" s="437"/>
      <c r="M14" s="437"/>
      <c r="N14" s="426"/>
      <c r="O14" s="437"/>
      <c r="P14" s="351"/>
      <c r="Q14" s="351"/>
      <c r="R14" s="353"/>
      <c r="S14" s="351"/>
      <c r="T14" s="351"/>
      <c r="U14" s="351"/>
      <c r="V14" s="355"/>
      <c r="W14" s="355"/>
      <c r="X14" s="352"/>
      <c r="Y14" s="352"/>
      <c r="Z14" s="352"/>
      <c r="AA14" s="352"/>
      <c r="AB14" s="352"/>
    </row>
    <row r="15" spans="1:28" ht="15" customHeight="1">
      <c r="A15" s="6607" t="s">
        <v>98</v>
      </c>
      <c r="B15" s="1060"/>
      <c r="C15" s="718" t="s">
        <v>102</v>
      </c>
      <c r="D15" s="1727"/>
      <c r="E15" s="1714" t="str">
        <f>A15</f>
        <v>2</v>
      </c>
      <c r="F15" s="721" t="s">
        <v>103</v>
      </c>
      <c r="G15" s="465" t="str">
        <f>"Территория "&amp;E15</f>
        <v>Территория 2</v>
      </c>
      <c r="H15" s="709"/>
      <c r="I15" s="709"/>
      <c r="J15" s="706"/>
      <c r="K15" s="1535"/>
      <c r="L15" s="1535"/>
      <c r="M15" s="1535"/>
      <c r="N15" s="147"/>
      <c r="O15" s="1535"/>
      <c r="P15" s="146"/>
      <c r="Q15" s="146"/>
      <c r="R15" s="146"/>
      <c r="S15" s="146"/>
      <c r="T15" s="1831"/>
      <c r="U15" s="1831"/>
      <c r="V15" s="1831"/>
      <c r="W15" s="1831"/>
      <c r="X15" s="1831"/>
      <c r="Y15" s="1831"/>
      <c r="Z15" s="1831"/>
      <c r="AA15" s="1831"/>
      <c r="AB15" s="1831"/>
    </row>
    <row r="16" spans="1:28" ht="15" customHeight="1">
      <c r="A16" s="6607"/>
      <c r="B16" s="1060">
        <v>1</v>
      </c>
      <c r="C16" s="1060"/>
      <c r="D16" s="717"/>
      <c r="E16" s="1722" t="str">
        <f>A15&amp;"."&amp;B16</f>
        <v>2.1</v>
      </c>
      <c r="F16" s="720" t="s">
        <v>104</v>
      </c>
      <c r="G16" s="710" t="s">
        <v>105</v>
      </c>
      <c r="H16" s="710" t="s">
        <v>105</v>
      </c>
      <c r="I16" s="708" t="s">
        <v>106</v>
      </c>
      <c r="J16" s="1535"/>
      <c r="K16" s="1547"/>
      <c r="L16" s="1547"/>
      <c r="M16" s="1535" t="str">
        <f t="array" ref="M16">IF(ISERROR(MATCH(MID(N16,1,250),MID(note_ter,1,250),0)),"n","y")</f>
        <v>n</v>
      </c>
      <c r="N16" s="1547"/>
      <c r="O16" s="1535" t="str">
        <f>H16&amp;"("&amp;I16&amp;")"</f>
        <v>Горномарийский муниципальный район(88608000)</v>
      </c>
      <c r="P16" s="1060"/>
      <c r="Q16" s="1060"/>
      <c r="R16" s="353"/>
      <c r="S16" s="1060"/>
      <c r="T16" s="1060"/>
      <c r="U16" s="1060"/>
      <c r="V16" s="355"/>
      <c r="W16" s="355"/>
      <c r="X16" s="352"/>
      <c r="Y16" s="352"/>
      <c r="Z16" s="352"/>
      <c r="AA16" s="352"/>
      <c r="AB16" s="352"/>
    </row>
    <row r="17" spans="1:28" ht="15" customHeight="1">
      <c r="A17" s="6607"/>
      <c r="B17" s="1060"/>
      <c r="C17" s="346"/>
      <c r="D17" s="718"/>
      <c r="E17" s="354"/>
      <c r="F17" s="98"/>
      <c r="G17" s="349" t="s">
        <v>101</v>
      </c>
      <c r="H17" s="108"/>
      <c r="I17" s="357"/>
      <c r="J17" s="1547"/>
      <c r="K17" s="1547"/>
      <c r="L17" s="1547"/>
      <c r="M17" s="1547"/>
      <c r="N17" s="1535"/>
      <c r="O17" s="1547"/>
      <c r="P17" s="1060"/>
      <c r="Q17" s="1060"/>
      <c r="R17" s="353"/>
      <c r="S17" s="1060"/>
      <c r="T17" s="1060"/>
      <c r="U17" s="1060"/>
      <c r="V17" s="355"/>
      <c r="W17" s="355"/>
      <c r="X17" s="352"/>
      <c r="Y17" s="352"/>
      <c r="Z17" s="352"/>
      <c r="AA17" s="352"/>
      <c r="AB17" s="352"/>
    </row>
    <row r="18" spans="1:28" ht="15" customHeight="1">
      <c r="A18" s="6607" t="s">
        <v>89</v>
      </c>
      <c r="B18" s="1060"/>
      <c r="C18" s="718" t="s">
        <v>102</v>
      </c>
      <c r="D18" s="1727"/>
      <c r="E18" s="1714" t="str">
        <f>A18</f>
        <v>3</v>
      </c>
      <c r="F18" s="721" t="s">
        <v>107</v>
      </c>
      <c r="G18" s="465" t="str">
        <f>"Территория "&amp;E18</f>
        <v>Территория 3</v>
      </c>
      <c r="H18" s="709"/>
      <c r="I18" s="709"/>
      <c r="J18" s="706"/>
      <c r="K18" s="1535"/>
      <c r="L18" s="1535"/>
      <c r="M18" s="1535"/>
      <c r="N18" s="147"/>
      <c r="O18" s="1535"/>
      <c r="P18" s="146"/>
      <c r="Q18" s="146"/>
      <c r="R18" s="146"/>
      <c r="S18" s="146"/>
      <c r="T18" s="1831"/>
      <c r="U18" s="1831"/>
      <c r="V18" s="1831"/>
      <c r="W18" s="1831"/>
      <c r="X18" s="1831"/>
      <c r="Y18" s="1831"/>
      <c r="Z18" s="1831"/>
      <c r="AA18" s="1831"/>
      <c r="AB18" s="1831"/>
    </row>
    <row r="19" spans="1:28" ht="15" customHeight="1">
      <c r="A19" s="6607"/>
      <c r="B19" s="1060">
        <v>1</v>
      </c>
      <c r="C19" s="1060"/>
      <c r="D19" s="717"/>
      <c r="E19" s="1722" t="str">
        <f>A18&amp;"."&amp;B19</f>
        <v>3.1</v>
      </c>
      <c r="F19" s="720" t="s">
        <v>108</v>
      </c>
      <c r="G19" s="710" t="s">
        <v>109</v>
      </c>
      <c r="H19" s="710" t="s">
        <v>109</v>
      </c>
      <c r="I19" s="708" t="s">
        <v>110</v>
      </c>
      <c r="J19" s="1535"/>
      <c r="K19" s="1547"/>
      <c r="L19" s="1547"/>
      <c r="M19" s="1535" t="str">
        <f t="array" ref="M19">IF(ISERROR(MATCH(MID(N19,1,250),MID(note_ter,1,250),0)),"n","y")</f>
        <v>n</v>
      </c>
      <c r="N19" s="1547"/>
      <c r="O19" s="1535" t="str">
        <f>H19&amp;"("&amp;I19&amp;")"</f>
        <v>Звениговский муниципальный район(88612000)</v>
      </c>
      <c r="P19" s="1060"/>
      <c r="Q19" s="1060"/>
      <c r="R19" s="353"/>
      <c r="S19" s="1060"/>
      <c r="T19" s="1060"/>
      <c r="U19" s="1060"/>
      <c r="V19" s="355"/>
      <c r="W19" s="355"/>
      <c r="X19" s="352"/>
      <c r="Y19" s="352"/>
      <c r="Z19" s="352"/>
      <c r="AA19" s="352"/>
      <c r="AB19" s="352"/>
    </row>
    <row r="20" spans="1:28" ht="15" customHeight="1">
      <c r="A20" s="6607"/>
      <c r="B20" s="1060"/>
      <c r="C20" s="346"/>
      <c r="D20" s="718"/>
      <c r="E20" s="354"/>
      <c r="F20" s="98"/>
      <c r="G20" s="349" t="s">
        <v>101</v>
      </c>
      <c r="H20" s="108"/>
      <c r="I20" s="357"/>
      <c r="J20" s="1547"/>
      <c r="K20" s="1547"/>
      <c r="L20" s="1547"/>
      <c r="M20" s="1547"/>
      <c r="N20" s="1535"/>
      <c r="O20" s="1547"/>
      <c r="P20" s="1060"/>
      <c r="Q20" s="1060"/>
      <c r="R20" s="353"/>
      <c r="S20" s="1060"/>
      <c r="T20" s="1060"/>
      <c r="U20" s="1060"/>
      <c r="V20" s="355"/>
      <c r="W20" s="355"/>
      <c r="X20" s="352"/>
      <c r="Y20" s="352"/>
      <c r="Z20" s="352"/>
      <c r="AA20" s="352"/>
      <c r="AB20" s="352"/>
    </row>
    <row r="21" spans="1:28" ht="15" customHeight="1">
      <c r="A21" s="6607" t="s">
        <v>90</v>
      </c>
      <c r="B21" s="1060"/>
      <c r="C21" s="718" t="s">
        <v>102</v>
      </c>
      <c r="D21" s="1727"/>
      <c r="E21" s="1714" t="str">
        <f>A21</f>
        <v>4</v>
      </c>
      <c r="F21" s="721" t="s">
        <v>111</v>
      </c>
      <c r="G21" s="465" t="str">
        <f>"Территория "&amp;E21</f>
        <v>Территория 4</v>
      </c>
      <c r="H21" s="709"/>
      <c r="I21" s="709"/>
      <c r="J21" s="706"/>
      <c r="K21" s="1535"/>
      <c r="L21" s="1535"/>
      <c r="M21" s="1535"/>
      <c r="N21" s="147"/>
      <c r="O21" s="1535"/>
      <c r="P21" s="146"/>
      <c r="Q21" s="146"/>
      <c r="R21" s="146"/>
      <c r="S21" s="146"/>
      <c r="T21" s="1831"/>
      <c r="U21" s="1831"/>
      <c r="V21" s="1831"/>
      <c r="W21" s="1831"/>
      <c r="X21" s="1831"/>
      <c r="Y21" s="1831"/>
      <c r="Z21" s="1831"/>
      <c r="AA21" s="1831"/>
      <c r="AB21" s="1831"/>
    </row>
    <row r="22" spans="1:28" ht="15" customHeight="1">
      <c r="A22" s="6607"/>
      <c r="B22" s="1060">
        <v>1</v>
      </c>
      <c r="C22" s="1060"/>
      <c r="D22" s="717"/>
      <c r="E22" s="1722" t="str">
        <f>A21&amp;"."&amp;B22</f>
        <v>4.1</v>
      </c>
      <c r="F22" s="720" t="s">
        <v>112</v>
      </c>
      <c r="G22" s="710" t="s">
        <v>113</v>
      </c>
      <c r="H22" s="710" t="s">
        <v>113</v>
      </c>
      <c r="I22" s="708" t="s">
        <v>114</v>
      </c>
      <c r="J22" s="1535"/>
      <c r="K22" s="1547"/>
      <c r="L22" s="1547"/>
      <c r="M22" s="1535" t="str">
        <f t="array" ref="M22">IF(ISERROR(MATCH(MID(N22,1,250),MID(note_ter,1,250),0)),"n","y")</f>
        <v>n</v>
      </c>
      <c r="N22" s="1547"/>
      <c r="O22" s="1535" t="str">
        <f>H22&amp;"("&amp;I22&amp;")"</f>
        <v>Килемарский муниципальный район(88616000)</v>
      </c>
      <c r="P22" s="1060"/>
      <c r="Q22" s="1060"/>
      <c r="R22" s="353"/>
      <c r="S22" s="1060"/>
      <c r="T22" s="1060"/>
      <c r="U22" s="1060"/>
      <c r="V22" s="355"/>
      <c r="W22" s="355"/>
      <c r="X22" s="352"/>
      <c r="Y22" s="352"/>
      <c r="Z22" s="352"/>
      <c r="AA22" s="352"/>
      <c r="AB22" s="352"/>
    </row>
    <row r="23" spans="1:28" ht="15" customHeight="1">
      <c r="A23" s="6607"/>
      <c r="B23" s="1060"/>
      <c r="C23" s="346"/>
      <c r="D23" s="718"/>
      <c r="E23" s="354"/>
      <c r="F23" s="98"/>
      <c r="G23" s="349" t="s">
        <v>101</v>
      </c>
      <c r="H23" s="108"/>
      <c r="I23" s="357"/>
      <c r="J23" s="1547"/>
      <c r="K23" s="1547"/>
      <c r="L23" s="1547"/>
      <c r="M23" s="1547"/>
      <c r="N23" s="1535"/>
      <c r="O23" s="1547"/>
      <c r="P23" s="1060"/>
      <c r="Q23" s="1060"/>
      <c r="R23" s="353"/>
      <c r="S23" s="1060"/>
      <c r="T23" s="1060"/>
      <c r="U23" s="1060"/>
      <c r="V23" s="355"/>
      <c r="W23" s="355"/>
      <c r="X23" s="352"/>
      <c r="Y23" s="352"/>
      <c r="Z23" s="352"/>
      <c r="AA23" s="352"/>
      <c r="AB23" s="352"/>
    </row>
    <row r="24" spans="1:28" ht="15" customHeight="1">
      <c r="A24" s="6607" t="s">
        <v>115</v>
      </c>
      <c r="B24" s="1060"/>
      <c r="C24" s="718" t="s">
        <v>102</v>
      </c>
      <c r="D24" s="1727"/>
      <c r="E24" s="1714" t="str">
        <f>A24</f>
        <v>5</v>
      </c>
      <c r="F24" s="721" t="s">
        <v>116</v>
      </c>
      <c r="G24" s="465" t="str">
        <f>"Территория "&amp;E24</f>
        <v>Территория 5</v>
      </c>
      <c r="H24" s="709"/>
      <c r="I24" s="709"/>
      <c r="J24" s="706"/>
      <c r="K24" s="1535"/>
      <c r="L24" s="1535"/>
      <c r="M24" s="1535"/>
      <c r="N24" s="147"/>
      <c r="O24" s="1535"/>
      <c r="P24" s="146"/>
      <c r="Q24" s="146"/>
      <c r="R24" s="146"/>
      <c r="S24" s="146"/>
      <c r="T24" s="1831"/>
      <c r="U24" s="1831"/>
      <c r="V24" s="1831"/>
      <c r="W24" s="1831"/>
      <c r="X24" s="1831"/>
      <c r="Y24" s="1831"/>
      <c r="Z24" s="1831"/>
      <c r="AA24" s="1831"/>
      <c r="AB24" s="1831"/>
    </row>
    <row r="25" spans="1:28" ht="15" customHeight="1">
      <c r="A25" s="6607"/>
      <c r="B25" s="1060">
        <v>1</v>
      </c>
      <c r="C25" s="1060"/>
      <c r="D25" s="717"/>
      <c r="E25" s="1722" t="str">
        <f>A24&amp;"."&amp;B25</f>
        <v>5.1</v>
      </c>
      <c r="F25" s="720" t="s">
        <v>117</v>
      </c>
      <c r="G25" s="710" t="s">
        <v>118</v>
      </c>
      <c r="H25" s="710" t="s">
        <v>118</v>
      </c>
      <c r="I25" s="708" t="s">
        <v>119</v>
      </c>
      <c r="J25" s="1535"/>
      <c r="K25" s="1547"/>
      <c r="L25" s="1547"/>
      <c r="M25" s="1535" t="str">
        <f t="array" ref="M25">IF(ISERROR(MATCH(MID(N25,1,250),MID(note_ter,1,250),0)),"n","y")</f>
        <v>n</v>
      </c>
      <c r="N25" s="1547"/>
      <c r="O25" s="1535" t="str">
        <f>H25&amp;"("&amp;I25&amp;")"</f>
        <v>Куженерский муниципальный район(88620000)</v>
      </c>
      <c r="P25" s="1060"/>
      <c r="Q25" s="1060"/>
      <c r="R25" s="353"/>
      <c r="S25" s="1060"/>
      <c r="T25" s="1060"/>
      <c r="U25" s="1060"/>
      <c r="V25" s="355"/>
      <c r="W25" s="355"/>
      <c r="X25" s="352"/>
      <c r="Y25" s="352"/>
      <c r="Z25" s="352"/>
      <c r="AA25" s="352"/>
      <c r="AB25" s="352"/>
    </row>
    <row r="26" spans="1:28" ht="15" customHeight="1">
      <c r="A26" s="6607"/>
      <c r="B26" s="1060"/>
      <c r="C26" s="346"/>
      <c r="D26" s="718"/>
      <c r="E26" s="354"/>
      <c r="F26" s="98"/>
      <c r="G26" s="349" t="s">
        <v>101</v>
      </c>
      <c r="H26" s="108"/>
      <c r="I26" s="357"/>
      <c r="J26" s="1547"/>
      <c r="K26" s="1547"/>
      <c r="L26" s="1547"/>
      <c r="M26" s="1547"/>
      <c r="N26" s="1535"/>
      <c r="O26" s="1547"/>
      <c r="P26" s="1060"/>
      <c r="Q26" s="1060"/>
      <c r="R26" s="353"/>
      <c r="S26" s="1060"/>
      <c r="T26" s="1060"/>
      <c r="U26" s="1060"/>
      <c r="V26" s="355"/>
      <c r="W26" s="355"/>
      <c r="X26" s="352"/>
      <c r="Y26" s="352"/>
      <c r="Z26" s="352"/>
      <c r="AA26" s="352"/>
      <c r="AB26" s="352"/>
    </row>
    <row r="27" spans="1:28" ht="15" customHeight="1">
      <c r="A27" s="6607" t="s">
        <v>91</v>
      </c>
      <c r="B27" s="1060"/>
      <c r="C27" s="718" t="s">
        <v>102</v>
      </c>
      <c r="D27" s="1727"/>
      <c r="E27" s="1714" t="str">
        <f>A27</f>
        <v>6</v>
      </c>
      <c r="F27" s="721" t="s">
        <v>120</v>
      </c>
      <c r="G27" s="465" t="str">
        <f>"Территория "&amp;E27</f>
        <v>Территория 6</v>
      </c>
      <c r="H27" s="709"/>
      <c r="I27" s="709"/>
      <c r="J27" s="706"/>
      <c r="K27" s="1535"/>
      <c r="L27" s="1535"/>
      <c r="M27" s="1535"/>
      <c r="N27" s="147"/>
      <c r="O27" s="1535"/>
      <c r="P27" s="146"/>
      <c r="Q27" s="146"/>
      <c r="R27" s="146"/>
      <c r="S27" s="146"/>
      <c r="T27" s="1831"/>
      <c r="U27" s="1831"/>
      <c r="V27" s="1831"/>
      <c r="W27" s="1831"/>
      <c r="X27" s="1831"/>
      <c r="Y27" s="1831"/>
      <c r="Z27" s="1831"/>
      <c r="AA27" s="1831"/>
      <c r="AB27" s="1831"/>
    </row>
    <row r="28" spans="1:28" ht="15" customHeight="1">
      <c r="A28" s="6607"/>
      <c r="B28" s="1060">
        <v>1</v>
      </c>
      <c r="C28" s="1060"/>
      <c r="D28" s="717"/>
      <c r="E28" s="1722" t="str">
        <f>A27&amp;"."&amp;B28</f>
        <v>6.1</v>
      </c>
      <c r="F28" s="720" t="s">
        <v>121</v>
      </c>
      <c r="G28" s="710" t="s">
        <v>122</v>
      </c>
      <c r="H28" s="710" t="s">
        <v>122</v>
      </c>
      <c r="I28" s="708" t="s">
        <v>123</v>
      </c>
      <c r="J28" s="1535"/>
      <c r="K28" s="1547"/>
      <c r="L28" s="1547"/>
      <c r="M28" s="1535" t="str">
        <f t="array" ref="M28">IF(ISERROR(MATCH(MID(N28,1,250),MID(note_ter,1,250),0)),"n","y")</f>
        <v>n</v>
      </c>
      <c r="N28" s="1547"/>
      <c r="O28" s="1535" t="str">
        <f>H28&amp;"("&amp;I28&amp;")"</f>
        <v>Мари-Турекский муниципальный район(88624000)</v>
      </c>
      <c r="P28" s="1060"/>
      <c r="Q28" s="1060"/>
      <c r="R28" s="353"/>
      <c r="S28" s="1060"/>
      <c r="T28" s="1060"/>
      <c r="U28" s="1060"/>
      <c r="V28" s="355"/>
      <c r="W28" s="355"/>
      <c r="X28" s="352"/>
      <c r="Y28" s="352"/>
      <c r="Z28" s="352"/>
      <c r="AA28" s="352"/>
      <c r="AB28" s="352"/>
    </row>
    <row r="29" spans="1:28" ht="15" customHeight="1">
      <c r="A29" s="6607"/>
      <c r="B29" s="1060"/>
      <c r="C29" s="346"/>
      <c r="D29" s="718"/>
      <c r="E29" s="354"/>
      <c r="F29" s="98"/>
      <c r="G29" s="349" t="s">
        <v>101</v>
      </c>
      <c r="H29" s="108"/>
      <c r="I29" s="357"/>
      <c r="J29" s="1547"/>
      <c r="K29" s="1547"/>
      <c r="L29" s="1547"/>
      <c r="M29" s="1547"/>
      <c r="N29" s="1535"/>
      <c r="O29" s="1547"/>
      <c r="P29" s="1060"/>
      <c r="Q29" s="1060"/>
      <c r="R29" s="353"/>
      <c r="S29" s="1060"/>
      <c r="T29" s="1060"/>
      <c r="U29" s="1060"/>
      <c r="V29" s="355"/>
      <c r="W29" s="355"/>
      <c r="X29" s="352"/>
      <c r="Y29" s="352"/>
      <c r="Z29" s="352"/>
      <c r="AA29" s="352"/>
      <c r="AB29" s="352"/>
    </row>
    <row r="30" spans="1:28" ht="15" customHeight="1">
      <c r="A30" s="6607" t="s">
        <v>92</v>
      </c>
      <c r="B30" s="1060"/>
      <c r="C30" s="718" t="s">
        <v>102</v>
      </c>
      <c r="D30" s="1727"/>
      <c r="E30" s="1714" t="str">
        <f>A30</f>
        <v>7</v>
      </c>
      <c r="F30" s="721" t="s">
        <v>124</v>
      </c>
      <c r="G30" s="465" t="str">
        <f>"Территория "&amp;E30</f>
        <v>Территория 7</v>
      </c>
      <c r="H30" s="709"/>
      <c r="I30" s="709"/>
      <c r="J30" s="706"/>
      <c r="K30" s="1535"/>
      <c r="L30" s="1535"/>
      <c r="M30" s="1535"/>
      <c r="N30" s="147"/>
      <c r="O30" s="1535"/>
      <c r="P30" s="146"/>
      <c r="Q30" s="146"/>
      <c r="R30" s="146"/>
      <c r="S30" s="146"/>
      <c r="T30" s="1831"/>
      <c r="U30" s="1831"/>
      <c r="V30" s="1831"/>
      <c r="W30" s="1831"/>
      <c r="X30" s="1831"/>
      <c r="Y30" s="1831"/>
      <c r="Z30" s="1831"/>
      <c r="AA30" s="1831"/>
      <c r="AB30" s="1831"/>
    </row>
    <row r="31" spans="1:28" ht="15" customHeight="1">
      <c r="A31" s="6607"/>
      <c r="B31" s="1060">
        <v>1</v>
      </c>
      <c r="C31" s="1060"/>
      <c r="D31" s="717"/>
      <c r="E31" s="1722" t="str">
        <f>A30&amp;"."&amp;B31</f>
        <v>7.1</v>
      </c>
      <c r="F31" s="720" t="s">
        <v>125</v>
      </c>
      <c r="G31" s="710" t="s">
        <v>126</v>
      </c>
      <c r="H31" s="710" t="s">
        <v>126</v>
      </c>
      <c r="I31" s="708" t="s">
        <v>127</v>
      </c>
      <c r="J31" s="1535"/>
      <c r="K31" s="1547"/>
      <c r="L31" s="1547"/>
      <c r="M31" s="1535" t="str">
        <f t="array" ref="M31">IF(ISERROR(MATCH(MID(N31,1,250),MID(note_ter,1,250),0)),"n","y")</f>
        <v>n</v>
      </c>
      <c r="N31" s="1547"/>
      <c r="O31" s="1535" t="str">
        <f>H31&amp;"("&amp;I31&amp;")"</f>
        <v>Медведевский муниципальный район(88628000)</v>
      </c>
      <c r="P31" s="1060"/>
      <c r="Q31" s="1060"/>
      <c r="R31" s="353"/>
      <c r="S31" s="1060"/>
      <c r="T31" s="1060"/>
      <c r="U31" s="1060"/>
      <c r="V31" s="355"/>
      <c r="W31" s="355"/>
      <c r="X31" s="352"/>
      <c r="Y31" s="352"/>
      <c r="Z31" s="352"/>
      <c r="AA31" s="352"/>
      <c r="AB31" s="352"/>
    </row>
    <row r="32" spans="1:28" ht="15" customHeight="1">
      <c r="A32" s="6607"/>
      <c r="B32" s="1060"/>
      <c r="C32" s="346"/>
      <c r="D32" s="718"/>
      <c r="E32" s="354"/>
      <c r="F32" s="98"/>
      <c r="G32" s="349" t="s">
        <v>101</v>
      </c>
      <c r="H32" s="108"/>
      <c r="I32" s="357"/>
      <c r="J32" s="1547"/>
      <c r="K32" s="1547"/>
      <c r="L32" s="1547"/>
      <c r="M32" s="1547"/>
      <c r="N32" s="1535"/>
      <c r="O32" s="1547"/>
      <c r="P32" s="1060"/>
      <c r="Q32" s="1060"/>
      <c r="R32" s="353"/>
      <c r="S32" s="1060"/>
      <c r="T32" s="1060"/>
      <c r="U32" s="1060"/>
      <c r="V32" s="355"/>
      <c r="W32" s="355"/>
      <c r="X32" s="352"/>
      <c r="Y32" s="352"/>
      <c r="Z32" s="352"/>
      <c r="AA32" s="352"/>
      <c r="AB32" s="352"/>
    </row>
    <row r="33" spans="1:28" ht="15" customHeight="1">
      <c r="A33" s="6607" t="s">
        <v>128</v>
      </c>
      <c r="B33" s="1060"/>
      <c r="C33" s="718" t="s">
        <v>102</v>
      </c>
      <c r="D33" s="1727"/>
      <c r="E33" s="1714" t="str">
        <f>A33</f>
        <v>8</v>
      </c>
      <c r="F33" s="721" t="s">
        <v>129</v>
      </c>
      <c r="G33" s="465" t="str">
        <f>"Территория "&amp;E33</f>
        <v>Территория 8</v>
      </c>
      <c r="H33" s="709"/>
      <c r="I33" s="709"/>
      <c r="J33" s="706"/>
      <c r="K33" s="1535"/>
      <c r="L33" s="1535"/>
      <c r="M33" s="1535"/>
      <c r="N33" s="147"/>
      <c r="O33" s="1535"/>
      <c r="P33" s="146"/>
      <c r="Q33" s="146"/>
      <c r="R33" s="146"/>
      <c r="S33" s="146"/>
      <c r="T33" s="1831"/>
      <c r="U33" s="1831"/>
      <c r="V33" s="1831"/>
      <c r="W33" s="1831"/>
      <c r="X33" s="1831"/>
      <c r="Y33" s="1831"/>
      <c r="Z33" s="1831"/>
      <c r="AA33" s="1831"/>
      <c r="AB33" s="1831"/>
    </row>
    <row r="34" spans="1:28" ht="15" customHeight="1">
      <c r="A34" s="6607"/>
      <c r="B34" s="1060">
        <v>1</v>
      </c>
      <c r="C34" s="1060"/>
      <c r="D34" s="717"/>
      <c r="E34" s="1722" t="str">
        <f>A33&amp;"."&amp;B34</f>
        <v>8.1</v>
      </c>
      <c r="F34" s="720" t="s">
        <v>130</v>
      </c>
      <c r="G34" s="710" t="s">
        <v>131</v>
      </c>
      <c r="H34" s="710" t="s">
        <v>131</v>
      </c>
      <c r="I34" s="708" t="s">
        <v>132</v>
      </c>
      <c r="J34" s="1535"/>
      <c r="K34" s="1547"/>
      <c r="L34" s="1547"/>
      <c r="M34" s="1535" t="str">
        <f t="array" ref="M34">IF(ISERROR(MATCH(MID(N34,1,250),MID(note_ter,1,250),0)),"n","y")</f>
        <v>n</v>
      </c>
      <c r="N34" s="1547"/>
      <c r="O34" s="1535" t="str">
        <f>H34&amp;"("&amp;I34&amp;")"</f>
        <v>Моркинский муниципальный район(88632000)</v>
      </c>
      <c r="P34" s="1060"/>
      <c r="Q34" s="1060"/>
      <c r="R34" s="353"/>
      <c r="S34" s="1060"/>
      <c r="T34" s="1060"/>
      <c r="U34" s="1060"/>
      <c r="V34" s="355"/>
      <c r="W34" s="355"/>
      <c r="X34" s="352"/>
      <c r="Y34" s="352"/>
      <c r="Z34" s="352"/>
      <c r="AA34" s="352"/>
      <c r="AB34" s="352"/>
    </row>
    <row r="35" spans="1:28" ht="15" customHeight="1">
      <c r="A35" s="6607"/>
      <c r="B35" s="1060"/>
      <c r="C35" s="346"/>
      <c r="D35" s="718"/>
      <c r="E35" s="354"/>
      <c r="F35" s="98"/>
      <c r="G35" s="349" t="s">
        <v>101</v>
      </c>
      <c r="H35" s="108"/>
      <c r="I35" s="357"/>
      <c r="J35" s="1547"/>
      <c r="K35" s="1547"/>
      <c r="L35" s="1547"/>
      <c r="M35" s="1547"/>
      <c r="N35" s="1535"/>
      <c r="O35" s="1547"/>
      <c r="P35" s="1060"/>
      <c r="Q35" s="1060"/>
      <c r="R35" s="353"/>
      <c r="S35" s="1060"/>
      <c r="T35" s="1060"/>
      <c r="U35" s="1060"/>
      <c r="V35" s="355"/>
      <c r="W35" s="355"/>
      <c r="X35" s="352"/>
      <c r="Y35" s="352"/>
      <c r="Z35" s="352"/>
      <c r="AA35" s="352"/>
      <c r="AB35" s="352"/>
    </row>
    <row r="36" spans="1:28" ht="15" customHeight="1">
      <c r="A36" s="6607" t="s">
        <v>133</v>
      </c>
      <c r="B36" s="1060"/>
      <c r="C36" s="718" t="s">
        <v>102</v>
      </c>
      <c r="D36" s="1727"/>
      <c r="E36" s="1714" t="str">
        <f>A36</f>
        <v>9</v>
      </c>
      <c r="F36" s="721" t="s">
        <v>134</v>
      </c>
      <c r="G36" s="465" t="str">
        <f>"Территория "&amp;E36</f>
        <v>Территория 9</v>
      </c>
      <c r="H36" s="709"/>
      <c r="I36" s="709"/>
      <c r="J36" s="706"/>
      <c r="K36" s="1535"/>
      <c r="L36" s="1535"/>
      <c r="M36" s="1535"/>
      <c r="N36" s="147"/>
      <c r="O36" s="1535"/>
      <c r="P36" s="146"/>
      <c r="Q36" s="146"/>
      <c r="R36" s="146"/>
      <c r="S36" s="146"/>
      <c r="T36" s="1831"/>
      <c r="U36" s="1831"/>
      <c r="V36" s="1831"/>
      <c r="W36" s="1831"/>
      <c r="X36" s="1831"/>
      <c r="Y36" s="1831"/>
      <c r="Z36" s="1831"/>
      <c r="AA36" s="1831"/>
      <c r="AB36" s="1831"/>
    </row>
    <row r="37" spans="1:28" ht="15" customHeight="1">
      <c r="A37" s="6607"/>
      <c r="B37" s="1060">
        <v>1</v>
      </c>
      <c r="C37" s="1060"/>
      <c r="D37" s="717"/>
      <c r="E37" s="1722" t="str">
        <f>A36&amp;"."&amp;B37</f>
        <v>9.1</v>
      </c>
      <c r="F37" s="720" t="s">
        <v>135</v>
      </c>
      <c r="G37" s="710" t="s">
        <v>136</v>
      </c>
      <c r="H37" s="710" t="s">
        <v>136</v>
      </c>
      <c r="I37" s="708" t="s">
        <v>137</v>
      </c>
      <c r="J37" s="1535"/>
      <c r="K37" s="1547"/>
      <c r="L37" s="1547"/>
      <c r="M37" s="1535" t="str">
        <f t="array" ref="M37">IF(ISERROR(MATCH(MID(N37,1,250),MID(note_ter,1,250),0)),"n","y")</f>
        <v>n</v>
      </c>
      <c r="N37" s="1547"/>
      <c r="O37" s="1535" t="str">
        <f>H37&amp;"("&amp;I37&amp;")"</f>
        <v>Новоторъяльский муниципальный район(88636000)</v>
      </c>
      <c r="P37" s="1060"/>
      <c r="Q37" s="1060"/>
      <c r="R37" s="353"/>
      <c r="S37" s="1060"/>
      <c r="T37" s="1060"/>
      <c r="U37" s="1060"/>
      <c r="V37" s="355"/>
      <c r="W37" s="355"/>
      <c r="X37" s="352"/>
      <c r="Y37" s="352"/>
      <c r="Z37" s="352"/>
      <c r="AA37" s="352"/>
      <c r="AB37" s="352"/>
    </row>
    <row r="38" spans="1:28" ht="15" customHeight="1">
      <c r="A38" s="6607"/>
      <c r="B38" s="1060"/>
      <c r="C38" s="346"/>
      <c r="D38" s="718"/>
      <c r="E38" s="354"/>
      <c r="F38" s="98"/>
      <c r="G38" s="349" t="s">
        <v>101</v>
      </c>
      <c r="H38" s="108"/>
      <c r="I38" s="357"/>
      <c r="J38" s="1547"/>
      <c r="K38" s="1547"/>
      <c r="L38" s="1547"/>
      <c r="M38" s="1547"/>
      <c r="N38" s="1535"/>
      <c r="O38" s="1547"/>
      <c r="P38" s="1060"/>
      <c r="Q38" s="1060"/>
      <c r="R38" s="353"/>
      <c r="S38" s="1060"/>
      <c r="T38" s="1060"/>
      <c r="U38" s="1060"/>
      <c r="V38" s="355"/>
      <c r="W38" s="355"/>
      <c r="X38" s="352"/>
      <c r="Y38" s="352"/>
      <c r="Z38" s="352"/>
      <c r="AA38" s="352"/>
      <c r="AB38" s="352"/>
    </row>
    <row r="39" spans="1:28" ht="15" customHeight="1">
      <c r="A39" s="6607" t="s">
        <v>138</v>
      </c>
      <c r="B39" s="1060"/>
      <c r="C39" s="718" t="s">
        <v>102</v>
      </c>
      <c r="D39" s="1727"/>
      <c r="E39" s="1714" t="str">
        <f>A39</f>
        <v>10</v>
      </c>
      <c r="F39" s="721" t="s">
        <v>139</v>
      </c>
      <c r="G39" s="465" t="str">
        <f>"Территория "&amp;E39</f>
        <v>Территория 10</v>
      </c>
      <c r="H39" s="709"/>
      <c r="I39" s="709"/>
      <c r="J39" s="706"/>
      <c r="K39" s="1535"/>
      <c r="L39" s="1535"/>
      <c r="M39" s="1535"/>
      <c r="N39" s="147"/>
      <c r="O39" s="1535"/>
      <c r="P39" s="146"/>
      <c r="Q39" s="146"/>
      <c r="R39" s="146"/>
      <c r="S39" s="146"/>
      <c r="T39" s="1831"/>
      <c r="U39" s="1831"/>
      <c r="V39" s="1831"/>
      <c r="W39" s="1831"/>
      <c r="X39" s="1831"/>
      <c r="Y39" s="1831"/>
      <c r="Z39" s="1831"/>
      <c r="AA39" s="1831"/>
      <c r="AB39" s="1831"/>
    </row>
    <row r="40" spans="1:28" ht="15" customHeight="1">
      <c r="A40" s="6607"/>
      <c r="B40" s="1060">
        <v>1</v>
      </c>
      <c r="C40" s="1060"/>
      <c r="D40" s="717"/>
      <c r="E40" s="1722" t="str">
        <f>A39&amp;"."&amp;B40</f>
        <v>10.1</v>
      </c>
      <c r="F40" s="720" t="s">
        <v>140</v>
      </c>
      <c r="G40" s="710" t="s">
        <v>141</v>
      </c>
      <c r="H40" s="710" t="s">
        <v>141</v>
      </c>
      <c r="I40" s="708" t="s">
        <v>142</v>
      </c>
      <c r="J40" s="1535"/>
      <c r="K40" s="1547"/>
      <c r="L40" s="1547"/>
      <c r="M40" s="1535" t="str">
        <f t="array" ref="M40">IF(ISERROR(MATCH(MID(N40,1,250),MID(note_ter,1,250),0)),"n","y")</f>
        <v>n</v>
      </c>
      <c r="N40" s="1547"/>
      <c r="O40" s="1535" t="str">
        <f>H40&amp;"("&amp;I40&amp;")"</f>
        <v>Оршанский муниципальный район(88640000)</v>
      </c>
      <c r="P40" s="1060"/>
      <c r="Q40" s="1060"/>
      <c r="R40" s="353"/>
      <c r="S40" s="1060"/>
      <c r="T40" s="1060"/>
      <c r="U40" s="1060"/>
      <c r="V40" s="355"/>
      <c r="W40" s="355"/>
      <c r="X40" s="352"/>
      <c r="Y40" s="352"/>
      <c r="Z40" s="352"/>
      <c r="AA40" s="352"/>
      <c r="AB40" s="352"/>
    </row>
    <row r="41" spans="1:28" ht="15" customHeight="1">
      <c r="A41" s="6607"/>
      <c r="B41" s="1060"/>
      <c r="C41" s="346"/>
      <c r="D41" s="718"/>
      <c r="E41" s="354"/>
      <c r="F41" s="98"/>
      <c r="G41" s="349" t="s">
        <v>101</v>
      </c>
      <c r="H41" s="108"/>
      <c r="I41" s="357"/>
      <c r="J41" s="1547"/>
      <c r="K41" s="1547"/>
      <c r="L41" s="1547"/>
      <c r="M41" s="1547"/>
      <c r="N41" s="1535"/>
      <c r="O41" s="1547"/>
      <c r="P41" s="1060"/>
      <c r="Q41" s="1060"/>
      <c r="R41" s="353"/>
      <c r="S41" s="1060"/>
      <c r="T41" s="1060"/>
      <c r="U41" s="1060"/>
      <c r="V41" s="355"/>
      <c r="W41" s="355"/>
      <c r="X41" s="352"/>
      <c r="Y41" s="352"/>
      <c r="Z41" s="352"/>
      <c r="AA41" s="352"/>
      <c r="AB41" s="352"/>
    </row>
    <row r="42" spans="1:28" ht="15" customHeight="1">
      <c r="A42" s="6607" t="s">
        <v>104</v>
      </c>
      <c r="B42" s="1060"/>
      <c r="C42" s="718" t="s">
        <v>102</v>
      </c>
      <c r="D42" s="1727"/>
      <c r="E42" s="1714" t="str">
        <f>A42</f>
        <v>11</v>
      </c>
      <c r="F42" s="721" t="s">
        <v>143</v>
      </c>
      <c r="G42" s="465" t="str">
        <f>"Территория "&amp;E42</f>
        <v>Территория 11</v>
      </c>
      <c r="H42" s="709"/>
      <c r="I42" s="709"/>
      <c r="J42" s="706"/>
      <c r="K42" s="1535"/>
      <c r="L42" s="1535"/>
      <c r="M42" s="1535"/>
      <c r="N42" s="147"/>
      <c r="O42" s="1535"/>
      <c r="P42" s="146"/>
      <c r="Q42" s="146"/>
      <c r="R42" s="146"/>
      <c r="S42" s="146"/>
      <c r="T42" s="1831"/>
      <c r="U42" s="1831"/>
      <c r="V42" s="1831"/>
      <c r="W42" s="1831"/>
      <c r="X42" s="1831"/>
      <c r="Y42" s="1831"/>
      <c r="Z42" s="1831"/>
      <c r="AA42" s="1831"/>
      <c r="AB42" s="1831"/>
    </row>
    <row r="43" spans="1:28" ht="15" customHeight="1">
      <c r="A43" s="6607"/>
      <c r="B43" s="1060">
        <v>1</v>
      </c>
      <c r="C43" s="1060"/>
      <c r="D43" s="717"/>
      <c r="E43" s="1722" t="str">
        <f>A42&amp;"."&amp;B43</f>
        <v>11.1</v>
      </c>
      <c r="F43" s="720" t="s">
        <v>144</v>
      </c>
      <c r="G43" s="710" t="s">
        <v>145</v>
      </c>
      <c r="H43" s="710" t="s">
        <v>145</v>
      </c>
      <c r="I43" s="708" t="s">
        <v>146</v>
      </c>
      <c r="J43" s="1535"/>
      <c r="K43" s="1547"/>
      <c r="L43" s="1547"/>
      <c r="M43" s="1535" t="str">
        <f t="array" ref="M43">IF(ISERROR(MATCH(MID(N43,1,250),MID(note_ter,1,250),0)),"n","y")</f>
        <v>n</v>
      </c>
      <c r="N43" s="1547"/>
      <c r="O43" s="1535" t="str">
        <f>H43&amp;"("&amp;I43&amp;")"</f>
        <v>Параньгинский муниципальный район(88644000)</v>
      </c>
      <c r="P43" s="1060"/>
      <c r="Q43" s="1060"/>
      <c r="R43" s="353"/>
      <c r="S43" s="1060"/>
      <c r="T43" s="1060"/>
      <c r="U43" s="1060"/>
      <c r="V43" s="355"/>
      <c r="W43" s="355"/>
      <c r="X43" s="352"/>
      <c r="Y43" s="352"/>
      <c r="Z43" s="352"/>
      <c r="AA43" s="352"/>
      <c r="AB43" s="352"/>
    </row>
    <row r="44" spans="1:28" ht="15" customHeight="1">
      <c r="A44" s="6607"/>
      <c r="B44" s="1060"/>
      <c r="C44" s="346"/>
      <c r="D44" s="718"/>
      <c r="E44" s="354"/>
      <c r="F44" s="98"/>
      <c r="G44" s="349" t="s">
        <v>101</v>
      </c>
      <c r="H44" s="108"/>
      <c r="I44" s="357"/>
      <c r="J44" s="1547"/>
      <c r="K44" s="1547"/>
      <c r="L44" s="1547"/>
      <c r="M44" s="1547"/>
      <c r="N44" s="1535"/>
      <c r="O44" s="1547"/>
      <c r="P44" s="1060"/>
      <c r="Q44" s="1060"/>
      <c r="R44" s="353"/>
      <c r="S44" s="1060"/>
      <c r="T44" s="1060"/>
      <c r="U44" s="1060"/>
      <c r="V44" s="355"/>
      <c r="W44" s="355"/>
      <c r="X44" s="352"/>
      <c r="Y44" s="352"/>
      <c r="Z44" s="352"/>
      <c r="AA44" s="352"/>
      <c r="AB44" s="352"/>
    </row>
    <row r="45" spans="1:28" ht="15" customHeight="1">
      <c r="A45" s="6607" t="s">
        <v>147</v>
      </c>
      <c r="B45" s="1060"/>
      <c r="C45" s="718" t="s">
        <v>102</v>
      </c>
      <c r="D45" s="1727"/>
      <c r="E45" s="1714" t="str">
        <f>A45</f>
        <v>12</v>
      </c>
      <c r="F45" s="721" t="s">
        <v>148</v>
      </c>
      <c r="G45" s="465" t="str">
        <f>"Территория "&amp;E45</f>
        <v>Территория 12</v>
      </c>
      <c r="H45" s="709"/>
      <c r="I45" s="709"/>
      <c r="J45" s="706"/>
      <c r="K45" s="1535"/>
      <c r="L45" s="1535"/>
      <c r="M45" s="1535"/>
      <c r="N45" s="147"/>
      <c r="O45" s="1535"/>
      <c r="P45" s="146"/>
      <c r="Q45" s="146"/>
      <c r="R45" s="146"/>
      <c r="S45" s="146"/>
      <c r="T45" s="1831"/>
      <c r="U45" s="1831"/>
      <c r="V45" s="1831"/>
      <c r="W45" s="1831"/>
      <c r="X45" s="1831"/>
      <c r="Y45" s="1831"/>
      <c r="Z45" s="1831"/>
      <c r="AA45" s="1831"/>
      <c r="AB45" s="1831"/>
    </row>
    <row r="46" spans="1:28" ht="15" customHeight="1">
      <c r="A46" s="6607"/>
      <c r="B46" s="1060">
        <v>1</v>
      </c>
      <c r="C46" s="1060"/>
      <c r="D46" s="717"/>
      <c r="E46" s="1722" t="str">
        <f>A45&amp;"."&amp;B46</f>
        <v>12.1</v>
      </c>
      <c r="F46" s="720" t="s">
        <v>149</v>
      </c>
      <c r="G46" s="710" t="s">
        <v>150</v>
      </c>
      <c r="H46" s="710" t="s">
        <v>150</v>
      </c>
      <c r="I46" s="708" t="s">
        <v>151</v>
      </c>
      <c r="J46" s="1535"/>
      <c r="K46" s="1547"/>
      <c r="L46" s="1547"/>
      <c r="M46" s="1535" t="str">
        <f t="array" ref="M46">IF(ISERROR(MATCH(MID(N46,1,250),MID(note_ter,1,250),0)),"n","y")</f>
        <v>n</v>
      </c>
      <c r="N46" s="1547"/>
      <c r="O46" s="1535" t="str">
        <f>H46&amp;"("&amp;I46&amp;")"</f>
        <v>Сернурский муниципальный район(88648000)</v>
      </c>
      <c r="P46" s="1060"/>
      <c r="Q46" s="1060"/>
      <c r="R46" s="353"/>
      <c r="S46" s="1060"/>
      <c r="T46" s="1060"/>
      <c r="U46" s="1060"/>
      <c r="V46" s="355"/>
      <c r="W46" s="355"/>
      <c r="X46" s="352"/>
      <c r="Y46" s="352"/>
      <c r="Z46" s="352"/>
      <c r="AA46" s="352"/>
      <c r="AB46" s="352"/>
    </row>
    <row r="47" spans="1:28" ht="15" customHeight="1">
      <c r="A47" s="6607"/>
      <c r="B47" s="1060"/>
      <c r="C47" s="346"/>
      <c r="D47" s="718"/>
      <c r="E47" s="354"/>
      <c r="F47" s="98"/>
      <c r="G47" s="349" t="s">
        <v>101</v>
      </c>
      <c r="H47" s="108"/>
      <c r="I47" s="357"/>
      <c r="J47" s="1547"/>
      <c r="K47" s="1547"/>
      <c r="L47" s="1547"/>
      <c r="M47" s="1547"/>
      <c r="N47" s="1535"/>
      <c r="O47" s="1547"/>
      <c r="P47" s="1060"/>
      <c r="Q47" s="1060"/>
      <c r="R47" s="353"/>
      <c r="S47" s="1060"/>
      <c r="T47" s="1060"/>
      <c r="U47" s="1060"/>
      <c r="V47" s="355"/>
      <c r="W47" s="355"/>
      <c r="X47" s="352"/>
      <c r="Y47" s="352"/>
      <c r="Z47" s="352"/>
      <c r="AA47" s="352"/>
      <c r="AB47" s="352"/>
    </row>
    <row r="48" spans="1:28" ht="15" customHeight="1">
      <c r="A48" s="6607" t="s">
        <v>152</v>
      </c>
      <c r="B48" s="1060"/>
      <c r="C48" s="718" t="s">
        <v>102</v>
      </c>
      <c r="D48" s="1727"/>
      <c r="E48" s="1714" t="str">
        <f>A48</f>
        <v>13</v>
      </c>
      <c r="F48" s="721" t="s">
        <v>153</v>
      </c>
      <c r="G48" s="465" t="str">
        <f>"Территория "&amp;E48</f>
        <v>Территория 13</v>
      </c>
      <c r="H48" s="709"/>
      <c r="I48" s="709"/>
      <c r="J48" s="706"/>
      <c r="K48" s="1535"/>
      <c r="L48" s="1535"/>
      <c r="M48" s="1535"/>
      <c r="N48" s="147"/>
      <c r="O48" s="1535"/>
      <c r="P48" s="146"/>
      <c r="Q48" s="146"/>
      <c r="R48" s="146"/>
      <c r="S48" s="146"/>
      <c r="T48" s="1831"/>
      <c r="U48" s="1831"/>
      <c r="V48" s="1831"/>
      <c r="W48" s="1831"/>
      <c r="X48" s="1831"/>
      <c r="Y48" s="1831"/>
      <c r="Z48" s="1831"/>
      <c r="AA48" s="1831"/>
      <c r="AB48" s="1831"/>
    </row>
    <row r="49" spans="1:28" ht="15" customHeight="1">
      <c r="A49" s="6607"/>
      <c r="B49" s="1060">
        <v>1</v>
      </c>
      <c r="C49" s="1060"/>
      <c r="D49" s="717"/>
      <c r="E49" s="1722" t="str">
        <f>A48&amp;"."&amp;B49</f>
        <v>13.1</v>
      </c>
      <c r="F49" s="720" t="s">
        <v>154</v>
      </c>
      <c r="G49" s="710" t="s">
        <v>155</v>
      </c>
      <c r="H49" s="710" t="s">
        <v>155</v>
      </c>
      <c r="I49" s="708" t="s">
        <v>156</v>
      </c>
      <c r="J49" s="1535"/>
      <c r="K49" s="1547"/>
      <c r="L49" s="1547"/>
      <c r="M49" s="1535" t="str">
        <f t="array" ref="M49">IF(ISERROR(MATCH(MID(N49,1,250),MID(note_ter,1,250),0)),"n","y")</f>
        <v>n</v>
      </c>
      <c r="N49" s="1547"/>
      <c r="O49" s="1535" t="str">
        <f>H49&amp;"("&amp;I49&amp;")"</f>
        <v>Советский муниципальный район(88652000)</v>
      </c>
      <c r="P49" s="1060"/>
      <c r="Q49" s="1060"/>
      <c r="R49" s="353"/>
      <c r="S49" s="1060"/>
      <c r="T49" s="1060"/>
      <c r="U49" s="1060"/>
      <c r="V49" s="355"/>
      <c r="W49" s="355"/>
      <c r="X49" s="352"/>
      <c r="Y49" s="352"/>
      <c r="Z49" s="352"/>
      <c r="AA49" s="352"/>
      <c r="AB49" s="352"/>
    </row>
    <row r="50" spans="1:28" ht="15" customHeight="1">
      <c r="A50" s="6607"/>
      <c r="B50" s="1060"/>
      <c r="C50" s="346"/>
      <c r="D50" s="718"/>
      <c r="E50" s="354"/>
      <c r="F50" s="98"/>
      <c r="G50" s="349" t="s">
        <v>101</v>
      </c>
      <c r="H50" s="108"/>
      <c r="I50" s="357"/>
      <c r="J50" s="1547"/>
      <c r="K50" s="1547"/>
      <c r="L50" s="1547"/>
      <c r="M50" s="1547"/>
      <c r="N50" s="1535"/>
      <c r="O50" s="1547"/>
      <c r="P50" s="1060"/>
      <c r="Q50" s="1060"/>
      <c r="R50" s="353"/>
      <c r="S50" s="1060"/>
      <c r="T50" s="1060"/>
      <c r="U50" s="1060"/>
      <c r="V50" s="355"/>
      <c r="W50" s="355"/>
      <c r="X50" s="352"/>
      <c r="Y50" s="352"/>
      <c r="Z50" s="352"/>
      <c r="AA50" s="352"/>
      <c r="AB50" s="352"/>
    </row>
    <row r="51" spans="1:28" ht="15" customHeight="1">
      <c r="A51" s="6607" t="s">
        <v>157</v>
      </c>
      <c r="B51" s="1060"/>
      <c r="C51" s="718" t="s">
        <v>102</v>
      </c>
      <c r="D51" s="1727"/>
      <c r="E51" s="1714" t="str">
        <f>A51</f>
        <v>14</v>
      </c>
      <c r="F51" s="721" t="s">
        <v>158</v>
      </c>
      <c r="G51" s="465" t="str">
        <f>"Территория "&amp;E51</f>
        <v>Территория 14</v>
      </c>
      <c r="H51" s="709"/>
      <c r="I51" s="709"/>
      <c r="J51" s="706"/>
      <c r="K51" s="1535"/>
      <c r="L51" s="1535"/>
      <c r="M51" s="1535"/>
      <c r="N51" s="147"/>
      <c r="O51" s="1535"/>
      <c r="P51" s="146"/>
      <c r="Q51" s="146"/>
      <c r="R51" s="146"/>
      <c r="S51" s="146"/>
      <c r="T51" s="1831"/>
      <c r="U51" s="1831"/>
      <c r="V51" s="1831"/>
      <c r="W51" s="1831"/>
      <c r="X51" s="1831"/>
      <c r="Y51" s="1831"/>
      <c r="Z51" s="1831"/>
      <c r="AA51" s="1831"/>
      <c r="AB51" s="1831"/>
    </row>
    <row r="52" spans="1:28" ht="15" customHeight="1">
      <c r="A52" s="6607"/>
      <c r="B52" s="1060">
        <v>1</v>
      </c>
      <c r="C52" s="1060"/>
      <c r="D52" s="717"/>
      <c r="E52" s="1722" t="str">
        <f>A51&amp;"."&amp;B52</f>
        <v>14.1</v>
      </c>
      <c r="F52" s="720" t="s">
        <v>159</v>
      </c>
      <c r="G52" s="710" t="s">
        <v>160</v>
      </c>
      <c r="H52" s="710" t="s">
        <v>160</v>
      </c>
      <c r="I52" s="708" t="s">
        <v>161</v>
      </c>
      <c r="J52" s="1535"/>
      <c r="K52" s="1547"/>
      <c r="L52" s="1547"/>
      <c r="M52" s="1535" t="str">
        <f t="array" ref="M52">IF(ISERROR(MATCH(MID(N52,1,250),MID(note_ter,1,250),0)),"n","y")</f>
        <v>n</v>
      </c>
      <c r="N52" s="1547"/>
      <c r="O52" s="1535" t="str">
        <f>H52&amp;"("&amp;I52&amp;")"</f>
        <v>Юринский муниципальный район(88656000)</v>
      </c>
      <c r="P52" s="1060"/>
      <c r="Q52" s="1060"/>
      <c r="R52" s="353"/>
      <c r="S52" s="1060"/>
      <c r="T52" s="1060"/>
      <c r="U52" s="1060"/>
      <c r="V52" s="355"/>
      <c r="W52" s="355"/>
      <c r="X52" s="352"/>
      <c r="Y52" s="352"/>
      <c r="Z52" s="352"/>
      <c r="AA52" s="352"/>
      <c r="AB52" s="352"/>
    </row>
    <row r="53" spans="1:28" ht="15" customHeight="1">
      <c r="A53" s="6607"/>
      <c r="B53" s="1060"/>
      <c r="C53" s="346"/>
      <c r="D53" s="718"/>
      <c r="E53" s="354"/>
      <c r="F53" s="98"/>
      <c r="G53" s="349" t="s">
        <v>101</v>
      </c>
      <c r="H53" s="108"/>
      <c r="I53" s="357"/>
      <c r="J53" s="1547"/>
      <c r="K53" s="1547"/>
      <c r="L53" s="1547"/>
      <c r="M53" s="1547"/>
      <c r="N53" s="1535"/>
      <c r="O53" s="1547"/>
      <c r="P53" s="1060"/>
      <c r="Q53" s="1060"/>
      <c r="R53" s="353"/>
      <c r="S53" s="1060"/>
      <c r="T53" s="1060"/>
      <c r="U53" s="1060"/>
      <c r="V53" s="355"/>
      <c r="W53" s="355"/>
      <c r="X53" s="352"/>
      <c r="Y53" s="352"/>
      <c r="Z53" s="352"/>
      <c r="AA53" s="352"/>
      <c r="AB53" s="352"/>
    </row>
    <row r="54" spans="1:28" ht="15" customHeight="1">
      <c r="A54" s="6607" t="s">
        <v>162</v>
      </c>
      <c r="B54" s="1060"/>
      <c r="C54" s="718" t="s">
        <v>102</v>
      </c>
      <c r="D54" s="1727"/>
      <c r="E54" s="1714" t="str">
        <f>A54</f>
        <v>15</v>
      </c>
      <c r="F54" s="721" t="s">
        <v>163</v>
      </c>
      <c r="G54" s="465" t="str">
        <f>"Территория "&amp;E54</f>
        <v>Территория 15</v>
      </c>
      <c r="H54" s="709"/>
      <c r="I54" s="709"/>
      <c r="J54" s="706"/>
      <c r="K54" s="1535"/>
      <c r="L54" s="1535"/>
      <c r="M54" s="1535"/>
      <c r="N54" s="147"/>
      <c r="O54" s="1535"/>
      <c r="P54" s="146"/>
      <c r="Q54" s="146"/>
      <c r="R54" s="146"/>
      <c r="S54" s="146"/>
      <c r="T54" s="1831"/>
      <c r="U54" s="1831"/>
      <c r="V54" s="1831"/>
      <c r="W54" s="1831"/>
      <c r="X54" s="1831"/>
      <c r="Y54" s="1831"/>
      <c r="Z54" s="1831"/>
      <c r="AA54" s="1831"/>
      <c r="AB54" s="1831"/>
    </row>
    <row r="55" spans="1:28" ht="15" customHeight="1">
      <c r="A55" s="6607"/>
      <c r="B55" s="1060">
        <v>1</v>
      </c>
      <c r="C55" s="1060"/>
      <c r="D55" s="717"/>
      <c r="E55" s="1722" t="str">
        <f>A54&amp;"."&amp;B55</f>
        <v>15.1</v>
      </c>
      <c r="F55" s="720" t="s">
        <v>164</v>
      </c>
      <c r="G55" s="710" t="s">
        <v>165</v>
      </c>
      <c r="H55" s="710" t="s">
        <v>165</v>
      </c>
      <c r="I55" s="708" t="s">
        <v>166</v>
      </c>
      <c r="J55" s="1535"/>
      <c r="K55" s="1547"/>
      <c r="L55" s="1547"/>
      <c r="M55" s="1535" t="str">
        <f t="array" ref="M55">IF(ISERROR(MATCH(MID(N55,1,250),MID(note_ter,1,250),0)),"n","y")</f>
        <v>n</v>
      </c>
      <c r="N55" s="1547"/>
      <c r="O55" s="1535" t="str">
        <f>H55&amp;"("&amp;I55&amp;")"</f>
        <v>г. Йошкар-Ола(88701000)</v>
      </c>
      <c r="P55" s="1060"/>
      <c r="Q55" s="1060"/>
      <c r="R55" s="353"/>
      <c r="S55" s="1060"/>
      <c r="T55" s="1060"/>
      <c r="U55" s="1060"/>
      <c r="V55" s="355"/>
      <c r="W55" s="355"/>
      <c r="X55" s="352"/>
      <c r="Y55" s="352"/>
      <c r="Z55" s="352"/>
      <c r="AA55" s="352"/>
      <c r="AB55" s="352"/>
    </row>
    <row r="56" spans="1:28" ht="15" customHeight="1">
      <c r="A56" s="6607"/>
      <c r="B56" s="1060"/>
      <c r="C56" s="346"/>
      <c r="D56" s="718"/>
      <c r="E56" s="354"/>
      <c r="F56" s="98"/>
      <c r="G56" s="349" t="s">
        <v>101</v>
      </c>
      <c r="H56" s="108"/>
      <c r="I56" s="357"/>
      <c r="J56" s="1547"/>
      <c r="K56" s="1547"/>
      <c r="L56" s="1547"/>
      <c r="M56" s="1547"/>
      <c r="N56" s="1535"/>
      <c r="O56" s="1547"/>
      <c r="P56" s="1060"/>
      <c r="Q56" s="1060"/>
      <c r="R56" s="353"/>
      <c r="S56" s="1060"/>
      <c r="T56" s="1060"/>
      <c r="U56" s="1060"/>
      <c r="V56" s="355"/>
      <c r="W56" s="355"/>
      <c r="X56" s="352"/>
      <c r="Y56" s="352"/>
      <c r="Z56" s="352"/>
      <c r="AA56" s="352"/>
      <c r="AB56" s="352"/>
    </row>
    <row r="57" spans="1:28" ht="15" customHeight="1">
      <c r="A57" s="6607" t="s">
        <v>167</v>
      </c>
      <c r="B57" s="1060"/>
      <c r="C57" s="718" t="s">
        <v>102</v>
      </c>
      <c r="D57" s="1727"/>
      <c r="E57" s="1714" t="str">
        <f>A57</f>
        <v>16</v>
      </c>
      <c r="F57" s="721" t="s">
        <v>168</v>
      </c>
      <c r="G57" s="465" t="str">
        <f>"Территория "&amp;E57</f>
        <v>Территория 16</v>
      </c>
      <c r="H57" s="709"/>
      <c r="I57" s="709"/>
      <c r="J57" s="706"/>
      <c r="K57" s="1535"/>
      <c r="L57" s="1535"/>
      <c r="M57" s="1535"/>
      <c r="N57" s="147"/>
      <c r="O57" s="1535"/>
      <c r="P57" s="146"/>
      <c r="Q57" s="146"/>
      <c r="R57" s="146"/>
      <c r="S57" s="146"/>
      <c r="T57" s="1831"/>
      <c r="U57" s="1831"/>
      <c r="V57" s="1831"/>
      <c r="W57" s="1831"/>
      <c r="X57" s="1831"/>
      <c r="Y57" s="1831"/>
      <c r="Z57" s="1831"/>
      <c r="AA57" s="1831"/>
      <c r="AB57" s="1831"/>
    </row>
    <row r="58" spans="1:28" ht="15" customHeight="1">
      <c r="A58" s="6607"/>
      <c r="B58" s="1060">
        <v>1</v>
      </c>
      <c r="C58" s="1060"/>
      <c r="D58" s="717"/>
      <c r="E58" s="1722" t="str">
        <f>A57&amp;"."&amp;B58</f>
        <v>16.1</v>
      </c>
      <c r="F58" s="720" t="s">
        <v>169</v>
      </c>
      <c r="G58" s="710" t="s">
        <v>170</v>
      </c>
      <c r="H58" s="710" t="s">
        <v>170</v>
      </c>
      <c r="I58" s="708" t="s">
        <v>171</v>
      </c>
      <c r="J58" s="1535"/>
      <c r="K58" s="1547"/>
      <c r="L58" s="1547"/>
      <c r="M58" s="1535" t="str">
        <f t="array" ref="M58">IF(ISERROR(MATCH(MID(N58,1,250),MID(note_ter,1,250),0)),"n","y")</f>
        <v>n</v>
      </c>
      <c r="N58" s="1547"/>
      <c r="O58" s="1535" t="str">
        <f>H58&amp;"("&amp;I58&amp;")"</f>
        <v>г. Козьмодемьянск(88715000)</v>
      </c>
      <c r="P58" s="1060"/>
      <c r="Q58" s="1060"/>
      <c r="R58" s="353"/>
      <c r="S58" s="1060"/>
      <c r="T58" s="1060"/>
      <c r="U58" s="1060"/>
      <c r="V58" s="355"/>
      <c r="W58" s="355"/>
      <c r="X58" s="352"/>
      <c r="Y58" s="352"/>
      <c r="Z58" s="352"/>
      <c r="AA58" s="352"/>
      <c r="AB58" s="352"/>
    </row>
    <row r="59" spans="1:28" ht="15" customHeight="1">
      <c r="A59" s="6607"/>
      <c r="B59" s="1060"/>
      <c r="C59" s="346"/>
      <c r="D59" s="718"/>
      <c r="E59" s="354"/>
      <c r="F59" s="98"/>
      <c r="G59" s="349" t="s">
        <v>101</v>
      </c>
      <c r="H59" s="108"/>
      <c r="I59" s="357"/>
      <c r="J59" s="1547"/>
      <c r="K59" s="1547"/>
      <c r="L59" s="1547"/>
      <c r="M59" s="1547"/>
      <c r="N59" s="1535"/>
      <c r="O59" s="1547"/>
      <c r="P59" s="1060"/>
      <c r="Q59" s="1060"/>
      <c r="R59" s="353"/>
      <c r="S59" s="1060"/>
      <c r="T59" s="1060"/>
      <c r="U59" s="1060"/>
      <c r="V59" s="355"/>
      <c r="W59" s="355"/>
      <c r="X59" s="352"/>
      <c r="Y59" s="352"/>
      <c r="Z59" s="352"/>
      <c r="AA59" s="352"/>
      <c r="AB59" s="352"/>
    </row>
    <row r="60" spans="1:28" s="1819" customFormat="1" ht="14.25" customHeight="1">
      <c r="A60" s="675"/>
      <c r="B60" s="351"/>
      <c r="C60" s="675"/>
      <c r="D60" s="699"/>
      <c r="E60" s="711"/>
      <c r="F60" s="99"/>
      <c r="G60" s="350" t="s">
        <v>172</v>
      </c>
      <c r="H60" s="99"/>
      <c r="I60" s="100"/>
      <c r="J60" s="168"/>
      <c r="K60" s="77"/>
      <c r="L60" s="77"/>
      <c r="M60" s="77"/>
      <c r="N60" s="147" t="s">
        <v>173</v>
      </c>
      <c r="O60" s="77"/>
      <c r="P60" s="146"/>
      <c r="Q60" s="146"/>
      <c r="R60" s="146"/>
      <c r="S60" s="146"/>
    </row>
    <row r="61" spans="1:28" s="1819" customFormat="1" ht="21" customHeight="1">
      <c r="A61" s="675"/>
      <c r="B61" s="351"/>
      <c r="C61" s="675"/>
      <c r="D61" s="86"/>
      <c r="E61" s="101"/>
      <c r="F61" s="101"/>
      <c r="G61" s="101"/>
      <c r="H61" s="101"/>
      <c r="I61" s="101"/>
      <c r="J61" s="77"/>
      <c r="K61" s="77"/>
      <c r="L61" s="77"/>
      <c r="M61" s="77"/>
      <c r="N61" s="147"/>
      <c r="O61" s="77"/>
      <c r="P61" s="146"/>
      <c r="Q61" s="146"/>
      <c r="R61" s="146"/>
      <c r="S61" s="146"/>
    </row>
    <row r="62" spans="1:28" s="1819" customFormat="1" ht="14.25" customHeight="1">
      <c r="A62" s="675"/>
      <c r="B62" s="351"/>
      <c r="C62" s="675"/>
      <c r="D62" s="86"/>
      <c r="E62" s="17"/>
      <c r="F62" s="675"/>
      <c r="G62" s="17"/>
      <c r="H62" s="17"/>
      <c r="I62" s="17"/>
      <c r="J62" s="77"/>
      <c r="K62" s="77"/>
      <c r="L62" s="77"/>
      <c r="M62" s="77"/>
      <c r="N62" s="147"/>
      <c r="O62" s="77"/>
      <c r="P62" s="146"/>
      <c r="Q62" s="146"/>
      <c r="R62" s="146"/>
      <c r="S62" s="146"/>
    </row>
    <row r="63" spans="1:28" s="1819" customFormat="1" ht="0.75" customHeight="1">
      <c r="A63" s="675"/>
      <c r="B63" s="351"/>
      <c r="C63" s="675"/>
      <c r="D63" s="86"/>
      <c r="E63" s="17"/>
      <c r="F63" s="675"/>
      <c r="G63" s="17"/>
      <c r="H63" s="17"/>
      <c r="I63" s="17"/>
      <c r="J63" s="77"/>
      <c r="K63" s="77"/>
      <c r="L63" s="77"/>
      <c r="M63" s="77"/>
      <c r="N63" s="147"/>
      <c r="O63" s="77"/>
      <c r="P63" s="146"/>
      <c r="Q63" s="146"/>
      <c r="R63" s="146"/>
      <c r="S63" s="146"/>
    </row>
    <row r="64" spans="1:28" s="1835" customFormat="1" ht="10.5" customHeight="1">
      <c r="B64" s="751"/>
      <c r="D64" s="103"/>
      <c r="J64" s="77"/>
      <c r="K64" s="77"/>
      <c r="L64" s="77"/>
      <c r="M64" s="77"/>
      <c r="N64" s="147"/>
      <c r="O64" s="77"/>
      <c r="P64" s="146"/>
      <c r="Q64" s="146"/>
      <c r="R64" s="146"/>
      <c r="S64" s="146"/>
    </row>
    <row r="65" spans="2:19" s="1835" customFormat="1" ht="10.5" customHeight="1">
      <c r="B65" s="751"/>
      <c r="D65" s="103"/>
      <c r="J65" s="77"/>
      <c r="K65" s="77"/>
      <c r="L65" s="77"/>
      <c r="M65" s="77"/>
      <c r="N65" s="147"/>
      <c r="O65" s="77"/>
      <c r="P65" s="146"/>
      <c r="Q65" s="146"/>
      <c r="R65" s="146"/>
      <c r="S65" s="146"/>
    </row>
    <row r="69" spans="2:19" ht="14.25" customHeight="1">
      <c r="H69" s="1"/>
    </row>
    <row r="73" spans="2:19" ht="14.25" customHeight="1">
      <c r="J73" s="17"/>
      <c r="K73" s="17"/>
      <c r="L73" s="17"/>
    </row>
  </sheetData>
  <sheetProtection formatColumns="0" formatRows="0" insertRows="0" deleteColumns="0" deleteRows="0" sort="0" autoFilter="0"/>
  <mergeCells count="19">
    <mergeCell ref="A48:A50"/>
    <mergeCell ref="A51:A53"/>
    <mergeCell ref="A54:A56"/>
    <mergeCell ref="A57:A59"/>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6">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6501" hidden="1" customWidth="1"/>
    <col min="2" max="2" width="16.85546875" style="1830" hidden="1" customWidth="1"/>
    <col min="3" max="3" width="5.5703125" style="1832" hidden="1" customWidth="1"/>
    <col min="4" max="4" width="3.7109375" style="6507" customWidth="1"/>
    <col min="5" max="5" width="7.7109375" style="2045" customWidth="1"/>
    <col min="6" max="6" width="54.5703125" style="2045" customWidth="1"/>
    <col min="7" max="7" width="10.42578125" style="2045" customWidth="1"/>
    <col min="8" max="8" width="40.7109375" style="2045" hidden="1" customWidth="1"/>
    <col min="9" max="9" width="40.7109375" style="2045" customWidth="1"/>
    <col min="10" max="10" width="102.85546875" style="2045" customWidth="1"/>
    <col min="11" max="11" width="9.7109375" style="1830" customWidth="1"/>
    <col min="12" max="12" width="5.28515625" style="1832" customWidth="1"/>
    <col min="13" max="13" width="3.7109375" style="1832" customWidth="1"/>
    <col min="14" max="17" width="3.7109375" style="1830" customWidth="1"/>
    <col min="18" max="18" width="10.5703125" style="1832" customWidth="1"/>
    <col min="19" max="19" width="34.7109375" style="1830" customWidth="1"/>
    <col min="20" max="20" width="9.42578125" style="1830" customWidth="1"/>
    <col min="21" max="21" width="9.140625" style="6502"/>
    <col min="22" max="26" width="9.140625" style="1830"/>
    <col min="27" max="31" width="9.140625" style="2044"/>
  </cols>
  <sheetData>
    <row r="1" spans="1:31" ht="11.25" hidden="1" customHeight="1"/>
    <row r="2" spans="1:31" ht="23.25" hidden="1" customHeight="1">
      <c r="B2" s="6603"/>
      <c r="C2" s="1067" t="s">
        <v>662</v>
      </c>
      <c r="D2" s="1549"/>
      <c r="E2" s="471">
        <f>B2</f>
        <v>0</v>
      </c>
      <c r="F2" s="472"/>
      <c r="G2" s="1556" t="s">
        <v>663</v>
      </c>
      <c r="H2" s="1556" t="s">
        <v>663</v>
      </c>
      <c r="I2" s="1556" t="s">
        <v>663</v>
      </c>
      <c r="J2" s="208" t="s">
        <v>664</v>
      </c>
      <c r="K2" s="468"/>
    </row>
    <row r="3" spans="1:31" s="1832" customFormat="1" ht="0.75" hidden="1" customHeight="1">
      <c r="B3" s="6603"/>
      <c r="C3" s="1067"/>
      <c r="D3" s="473"/>
      <c r="E3" s="474"/>
      <c r="F3" s="475" t="s">
        <v>665</v>
      </c>
      <c r="G3" s="476"/>
      <c r="H3" s="476">
        <f>H4*H5+H7</f>
        <v>0</v>
      </c>
      <c r="I3" s="476">
        <f>I4*I5+I6</f>
        <v>0</v>
      </c>
      <c r="J3" s="477"/>
    </row>
    <row r="4" spans="1:31" ht="23.25" hidden="1" customHeight="1">
      <c r="B4" s="6603"/>
      <c r="C4" s="1067"/>
      <c r="D4" s="1549"/>
      <c r="E4" s="471" t="str">
        <f>B2&amp;".1"</f>
        <v>.1</v>
      </c>
      <c r="F4" s="478" t="s">
        <v>666</v>
      </c>
      <c r="G4" s="479"/>
      <c r="H4" s="466"/>
      <c r="I4" s="466"/>
      <c r="J4" s="208" t="s">
        <v>667</v>
      </c>
      <c r="K4" s="468"/>
    </row>
    <row r="5" spans="1:31" ht="18.75" hidden="1" customHeight="1">
      <c r="B5" s="6603"/>
      <c r="C5" s="1067"/>
      <c r="D5" s="1549"/>
      <c r="E5" s="471" t="str">
        <f>B2&amp;".2"</f>
        <v>.2</v>
      </c>
      <c r="F5" s="478" t="s">
        <v>668</v>
      </c>
      <c r="G5" s="1556" t="s">
        <v>669</v>
      </c>
      <c r="H5" s="466"/>
      <c r="I5" s="466"/>
      <c r="J5" s="208"/>
      <c r="K5" s="468"/>
    </row>
    <row r="6" spans="1:31" ht="18.75" hidden="1" customHeight="1">
      <c r="B6" s="6603"/>
      <c r="C6" s="1067"/>
      <c r="D6" s="1549"/>
      <c r="E6" s="471" t="str">
        <f>B2&amp;".3"</f>
        <v>.3</v>
      </c>
      <c r="F6" s="478" t="s">
        <v>670</v>
      </c>
      <c r="G6" s="1556" t="s">
        <v>669</v>
      </c>
      <c r="H6" s="466"/>
      <c r="I6" s="466"/>
      <c r="J6" s="208"/>
      <c r="K6" s="468"/>
    </row>
    <row r="7" spans="1:31" ht="18.75" hidden="1" customHeight="1">
      <c r="B7" s="6603"/>
      <c r="C7" s="1067"/>
      <c r="D7" s="1549"/>
      <c r="E7" s="471" t="str">
        <f>B2&amp;".4"</f>
        <v>.4</v>
      </c>
      <c r="F7" s="478" t="s">
        <v>671</v>
      </c>
      <c r="G7" s="1556" t="s">
        <v>663</v>
      </c>
      <c r="H7" s="480"/>
      <c r="I7" s="480"/>
      <c r="J7" s="208"/>
      <c r="K7" s="468"/>
    </row>
    <row r="8" spans="1:31" s="1830" customFormat="1" ht="11.25" hidden="1" customHeight="1">
      <c r="A8" s="895"/>
      <c r="C8" s="1547"/>
      <c r="D8" s="462"/>
      <c r="H8" s="1060">
        <v>4</v>
      </c>
      <c r="I8" s="1060">
        <v>4</v>
      </c>
      <c r="L8" s="1547"/>
      <c r="M8" s="1547"/>
      <c r="R8" s="1547"/>
    </row>
    <row r="9" spans="1:31" s="1830" customFormat="1" ht="22.5" hidden="1" customHeight="1">
      <c r="A9" s="895"/>
      <c r="C9" s="1547"/>
      <c r="D9" s="463"/>
      <c r="E9" s="1558"/>
      <c r="F9" s="465"/>
      <c r="G9" s="1556" t="s">
        <v>669</v>
      </c>
      <c r="H9" s="466"/>
      <c r="I9" s="466"/>
      <c r="J9" s="467" t="s">
        <v>672</v>
      </c>
      <c r="K9" s="468"/>
      <c r="L9" s="1547"/>
      <c r="M9" s="1547"/>
      <c r="R9" s="1547"/>
      <c r="U9" s="469"/>
      <c r="AA9" s="1543"/>
      <c r="AB9" s="1543"/>
      <c r="AC9" s="1543"/>
      <c r="AD9" s="1543"/>
      <c r="AE9" s="1543"/>
    </row>
    <row r="10" spans="1:31" ht="11.25" hidden="1" customHeight="1"/>
    <row r="11" spans="1:31" ht="18.75" hidden="1" customHeight="1">
      <c r="D11" s="1549"/>
      <c r="E11" s="471"/>
      <c r="F11" s="465"/>
      <c r="G11" s="1556" t="s">
        <v>673</v>
      </c>
      <c r="H11" s="466"/>
      <c r="I11" s="466"/>
      <c r="J11" s="208" t="s">
        <v>674</v>
      </c>
      <c r="K11" s="468"/>
    </row>
    <row r="12" spans="1:31" ht="11.25" hidden="1" customHeight="1"/>
    <row r="13" spans="1:31" ht="22.5" hidden="1" customHeight="1">
      <c r="D13" s="1549"/>
      <c r="E13" s="471"/>
      <c r="F13" s="465"/>
      <c r="G13" s="878" t="s">
        <v>675</v>
      </c>
      <c r="H13" s="470"/>
      <c r="I13" s="470"/>
      <c r="J13" s="663" t="s">
        <v>676</v>
      </c>
      <c r="K13" s="468"/>
    </row>
    <row r="14" spans="1:31" ht="11.25" hidden="1" customHeight="1"/>
    <row r="15" spans="1:31" ht="22.5" hidden="1" customHeight="1">
      <c r="D15" s="1549"/>
      <c r="E15" s="471"/>
      <c r="F15" s="465"/>
      <c r="G15" s="1556" t="s">
        <v>677</v>
      </c>
      <c r="H15" s="470"/>
      <c r="I15" s="470"/>
      <c r="J15" s="208" t="s">
        <v>678</v>
      </c>
      <c r="K15" s="468"/>
    </row>
    <row r="16" spans="1:31" ht="11.25" hidden="1" customHeight="1"/>
    <row r="17" spans="1:26" ht="22.5" hidden="1" customHeight="1">
      <c r="D17" s="1549"/>
      <c r="E17" s="471"/>
      <c r="F17" s="465"/>
      <c r="G17" s="1556" t="s">
        <v>679</v>
      </c>
      <c r="H17" s="470"/>
      <c r="I17" s="470"/>
      <c r="J17" s="208" t="s">
        <v>680</v>
      </c>
      <c r="K17" s="468"/>
    </row>
    <row r="18" spans="1:26" ht="11.25" hidden="1" customHeight="1"/>
    <row r="19" spans="1:26" s="2044" customFormat="1" ht="11.25" hidden="1" customHeight="1">
      <c r="A19" s="895"/>
      <c r="B19" s="1060"/>
      <c r="C19" s="1547"/>
      <c r="D19" s="289"/>
      <c r="J19" s="1543">
        <v>4</v>
      </c>
      <c r="K19" s="1060"/>
      <c r="L19" s="1547"/>
      <c r="M19" s="1547"/>
      <c r="N19" s="1060"/>
      <c r="O19" s="1060"/>
      <c r="P19" s="1060"/>
      <c r="Q19" s="1060"/>
      <c r="R19" s="1547"/>
      <c r="S19" s="1060"/>
      <c r="T19" s="1060"/>
      <c r="U19" s="469"/>
      <c r="V19" s="1060"/>
      <c r="W19" s="1060"/>
      <c r="X19" s="1060"/>
      <c r="Y19" s="1060"/>
      <c r="Z19" s="1060"/>
    </row>
    <row r="21" spans="1:26" ht="24" customHeight="1">
      <c r="E21" s="674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6747"/>
      <c r="G21" s="6747"/>
      <c r="H21" s="6747"/>
      <c r="I21" s="6747"/>
      <c r="J21" s="481"/>
    </row>
    <row r="22" spans="1:26" ht="24" customHeight="1">
      <c r="E22" s="6694" t="str">
        <f>IF(org=0,"Не определено",org)</f>
        <v>ООО "Марикоммунэнерго"</v>
      </c>
      <c r="F22" s="6694"/>
      <c r="G22" s="6694"/>
      <c r="H22" s="6694"/>
      <c r="I22" s="6694"/>
    </row>
    <row r="23" spans="1:26" ht="11.25" customHeight="1">
      <c r="E23" s="1037"/>
      <c r="F23" s="1037"/>
      <c r="G23" s="1037"/>
      <c r="H23" s="1037"/>
      <c r="I23" s="1037"/>
    </row>
    <row r="24" spans="1:26" s="1832" customFormat="1" ht="0.75" customHeight="1">
      <c r="A24" s="1067"/>
      <c r="D24" s="1552"/>
      <c r="H24" s="802"/>
      <c r="I24" s="802" t="s">
        <v>183</v>
      </c>
    </row>
    <row r="25" spans="1:26" ht="11.25" customHeight="1">
      <c r="E25" s="630"/>
      <c r="F25" s="6838" t="s">
        <v>174</v>
      </c>
      <c r="G25" s="6839"/>
      <c r="H25" s="1562" t="str">
        <f>IF(H24="","",INDEX(DIFFERENTIATION_UNMERGE_VD,MATCH(H24,DIFFERENTIATION_ID_DIFF,0)))</f>
        <v/>
      </c>
      <c r="I25" s="1562">
        <f>IF(I24="","",INDEX(DIFFERENTIATION_UNMERGE_VD,MATCH(I24,DIFFERENTIATION_ID_DIFF,0)))</f>
        <v>0</v>
      </c>
      <c r="J25" s="6629"/>
    </row>
    <row r="26" spans="1:26" ht="11.25" customHeight="1">
      <c r="E26" s="630"/>
      <c r="F26" s="6838" t="s">
        <v>681</v>
      </c>
      <c r="G26" s="6839"/>
      <c r="H26" s="1562" t="str">
        <f>IF(H24="","",INDEX(DIFFERENTIATION_UNMERGE_AREA,MATCH(H24,DIFFERENTIATION_ID_DIFF,0)))</f>
        <v/>
      </c>
      <c r="I26" s="1562" t="str">
        <f>IF(I24="","",INDEX(DIFFERENTIATION_UNMERGE_AREA,MATCH(I24,DIFFERENTIATION_ID_DIFF,0)))</f>
        <v/>
      </c>
      <c r="J26" s="6629"/>
    </row>
    <row r="27" spans="1:26" ht="11.25" customHeight="1">
      <c r="E27" s="630"/>
      <c r="F27" s="6838" t="s">
        <v>682</v>
      </c>
      <c r="G27" s="6839"/>
      <c r="H27" s="1562" t="str">
        <f>IF(H24="","",INDEX(DIFFERENTIATION_UNMERGE_SYSTEM,MATCH(H24,DIFFERENTIATION_ID_DIFF,0)))</f>
        <v/>
      </c>
      <c r="I27" s="1562" t="str">
        <f>IF(I24="","",INDEX(DIFFERENTIATION_UNMERGE_SYSTEM,MATCH(I24,DIFFERENTIATION_ID_DIFF,0)))</f>
        <v>без дифференциации</v>
      </c>
      <c r="J27" s="6629"/>
    </row>
    <row r="28" spans="1:26" ht="11.25" customHeight="1">
      <c r="E28" s="6840" t="s">
        <v>418</v>
      </c>
      <c r="F28" s="6841"/>
      <c r="G28" s="6841"/>
      <c r="H28" s="1555"/>
      <c r="I28" s="1555"/>
      <c r="J28" s="6629"/>
    </row>
    <row r="29" spans="1:26" ht="22.5" customHeight="1">
      <c r="E29" s="1556" t="s">
        <v>87</v>
      </c>
      <c r="F29" s="1563" t="s">
        <v>420</v>
      </c>
      <c r="G29" s="1563" t="s">
        <v>683</v>
      </c>
      <c r="H29" s="1563" t="s">
        <v>421</v>
      </c>
      <c r="I29" s="1563" t="s">
        <v>421</v>
      </c>
      <c r="J29" s="6629"/>
    </row>
    <row r="30" spans="1:26" ht="18.75" customHeight="1">
      <c r="D30" s="1549"/>
      <c r="E30" s="471">
        <f>FHD_NUM_P_1</f>
        <v>1</v>
      </c>
      <c r="F30" s="1788" t="str">
        <f>FHD_P_1</f>
        <v>Выручка от регулируемого вида деятельности с распределением по видам деятельности</v>
      </c>
      <c r="G30" s="1786" t="s">
        <v>669</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49"/>
      <c r="E31" s="471">
        <f>FHD_NUM_P_2</f>
        <v>2</v>
      </c>
      <c r="F31" s="1788" t="str">
        <f>FHD_P_2</f>
        <v>Себестоимость производимых товаров (оказываемых услуг) по регулируемому виду деятельности, включая:</v>
      </c>
      <c r="G31" s="1786" t="s">
        <v>669</v>
      </c>
      <c r="H31" s="483">
        <f>SUMIF($K33:$K71,$K31,H33:H71)</f>
        <v>0</v>
      </c>
      <c r="I31" s="483">
        <f>SUMIF($K33:$K71,$K31,I33:I71)</f>
        <v>0</v>
      </c>
      <c r="J31" s="208" t="str">
        <f>FHD_NOTE_P_2</f>
        <v>Указывается суммарная себестоимость производимых товаров.</v>
      </c>
      <c r="K31" s="1547" t="s">
        <v>684</v>
      </c>
    </row>
    <row r="32" spans="1:26" ht="11.25" customHeight="1">
      <c r="D32" s="1549"/>
      <c r="E32" s="471" t="str">
        <f>FHD_NUM_P_3</f>
        <v>2.1</v>
      </c>
      <c r="F32" s="1433" t="str">
        <f>FHD_P_3</f>
        <v>Расходы на приобретаемую тепловую энергию (мощность), теплоноситель</v>
      </c>
      <c r="G32" s="1786" t="s">
        <v>669</v>
      </c>
      <c r="H32" s="482"/>
      <c r="I32" s="482"/>
      <c r="J32" s="208" t="str">
        <f>FHD_NOTE_P_3</f>
        <v/>
      </c>
      <c r="K32" s="1547" t="str">
        <f t="shared" ref="K32:K70" si="0">IF((LEN(E32)-LEN(SUBSTITUTE(E32,".","")))/LEN(".")=1,"p","")</f>
        <v>p</v>
      </c>
    </row>
    <row r="33" spans="1:31" ht="11.25" customHeight="1">
      <c r="A33" s="6842" t="s">
        <v>685</v>
      </c>
      <c r="D33" s="1549"/>
      <c r="E33" s="471" t="str">
        <f>FHD_NUM_P_4</f>
        <v>2.2</v>
      </c>
      <c r="F33" s="14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6" t="s">
        <v>669</v>
      </c>
      <c r="H33" s="483">
        <f>SUMIF($F34:$F40,$F3,H34:H40)</f>
        <v>0</v>
      </c>
      <c r="I33" s="483">
        <f>SUMIF($F34:$F40,$F3,I34:I40)</f>
        <v>0</v>
      </c>
      <c r="J33" s="208" t="str">
        <f>FHD_NOTE_P_4</f>
        <v>Указываются суммарные расходы на приобретение топлива всех видов.</v>
      </c>
      <c r="K33" s="1547" t="str">
        <f t="shared" si="0"/>
        <v>p</v>
      </c>
    </row>
    <row r="34" spans="1:31" s="6503" customFormat="1" ht="0.75" customHeight="1">
      <c r="A34" s="6842"/>
      <c r="B34" s="6843" t="str">
        <f>E33&amp;".0"</f>
        <v>2.2.0</v>
      </c>
      <c r="C34" s="1067"/>
      <c r="D34" s="485"/>
      <c r="E34" s="486"/>
      <c r="F34" s="487"/>
      <c r="G34" s="488"/>
      <c r="H34" s="423"/>
      <c r="I34" s="423"/>
      <c r="J34" s="489"/>
      <c r="K34" s="1547" t="str">
        <f t="shared" si="0"/>
        <v/>
      </c>
      <c r="L34" s="1547"/>
      <c r="M34" s="1547"/>
      <c r="N34" s="1547"/>
      <c r="O34" s="1547"/>
      <c r="P34" s="1547"/>
      <c r="Q34" s="1547"/>
      <c r="R34" s="1547"/>
      <c r="S34" s="1547"/>
      <c r="T34" s="1547"/>
      <c r="U34" s="490"/>
      <c r="V34" s="1547"/>
      <c r="W34" s="1547"/>
      <c r="X34" s="1547"/>
      <c r="Y34" s="1547"/>
      <c r="Z34" s="1547"/>
      <c r="AA34" s="491"/>
      <c r="AB34" s="491"/>
      <c r="AC34" s="491"/>
      <c r="AD34" s="491"/>
      <c r="AE34" s="491"/>
    </row>
    <row r="35" spans="1:31" s="6503" customFormat="1" ht="0.75" customHeight="1">
      <c r="A35" s="6842"/>
      <c r="B35" s="6843"/>
      <c r="C35" s="1067"/>
      <c r="D35" s="485"/>
      <c r="E35" s="492"/>
      <c r="F35" s="493"/>
      <c r="G35" s="488"/>
      <c r="H35" s="494"/>
      <c r="I35" s="494"/>
      <c r="J35" s="489"/>
      <c r="K35" s="1547" t="str">
        <f t="shared" si="0"/>
        <v/>
      </c>
      <c r="L35" s="1547"/>
      <c r="M35" s="1547"/>
      <c r="N35" s="1547"/>
      <c r="O35" s="1547"/>
      <c r="P35" s="1547"/>
      <c r="Q35" s="1547"/>
      <c r="R35" s="1547"/>
      <c r="S35" s="1547"/>
      <c r="T35" s="1547"/>
      <c r="U35" s="490"/>
      <c r="V35" s="1547"/>
      <c r="W35" s="1547"/>
      <c r="X35" s="1547"/>
      <c r="Y35" s="1547"/>
      <c r="Z35" s="1547"/>
      <c r="AA35" s="491"/>
      <c r="AB35" s="491"/>
      <c r="AC35" s="491"/>
      <c r="AD35" s="491"/>
      <c r="AE35" s="491"/>
    </row>
    <row r="36" spans="1:31" s="6503" customFormat="1" ht="0.75" customHeight="1">
      <c r="A36" s="6842"/>
      <c r="B36" s="6843"/>
      <c r="C36" s="1067"/>
      <c r="D36" s="485"/>
      <c r="E36" s="492"/>
      <c r="F36" s="493"/>
      <c r="G36" s="488"/>
      <c r="H36" s="494"/>
      <c r="I36" s="494"/>
      <c r="J36" s="489"/>
      <c r="K36" s="1547" t="str">
        <f t="shared" si="0"/>
        <v/>
      </c>
      <c r="L36" s="1547"/>
      <c r="M36" s="1547"/>
      <c r="N36" s="1547"/>
      <c r="O36" s="1547"/>
      <c r="P36" s="1547"/>
      <c r="Q36" s="1547"/>
      <c r="R36" s="1547"/>
      <c r="S36" s="1547"/>
      <c r="T36" s="1547"/>
      <c r="U36" s="490"/>
      <c r="V36" s="1547"/>
      <c r="W36" s="1547"/>
      <c r="X36" s="1547"/>
      <c r="Y36" s="1547"/>
      <c r="Z36" s="1547"/>
      <c r="AA36" s="491"/>
      <c r="AB36" s="491"/>
      <c r="AC36" s="491"/>
      <c r="AD36" s="491"/>
      <c r="AE36" s="491"/>
    </row>
    <row r="37" spans="1:31" s="6503" customFormat="1" ht="0.75" customHeight="1">
      <c r="A37" s="6842"/>
      <c r="B37" s="6843"/>
      <c r="C37" s="1067"/>
      <c r="D37" s="485"/>
      <c r="E37" s="492"/>
      <c r="F37" s="493"/>
      <c r="G37" s="488"/>
      <c r="H37" s="494"/>
      <c r="I37" s="494"/>
      <c r="J37" s="489"/>
      <c r="K37" s="1547" t="str">
        <f t="shared" si="0"/>
        <v/>
      </c>
      <c r="L37" s="1547"/>
      <c r="M37" s="1547"/>
      <c r="N37" s="1547"/>
      <c r="O37" s="1547"/>
      <c r="P37" s="1547"/>
      <c r="Q37" s="1547"/>
      <c r="R37" s="1547"/>
      <c r="S37" s="1547"/>
      <c r="T37" s="1547"/>
      <c r="U37" s="490"/>
      <c r="V37" s="1547"/>
      <c r="W37" s="1547"/>
      <c r="X37" s="1547"/>
      <c r="Y37" s="1547"/>
      <c r="Z37" s="1547"/>
      <c r="AA37" s="491"/>
      <c r="AB37" s="491"/>
      <c r="AC37" s="491"/>
      <c r="AD37" s="491"/>
      <c r="AE37" s="491"/>
    </row>
    <row r="38" spans="1:31" s="6503" customFormat="1" ht="0.75" customHeight="1">
      <c r="A38" s="6842"/>
      <c r="B38" s="6843"/>
      <c r="C38" s="1067"/>
      <c r="D38" s="485"/>
      <c r="E38" s="492"/>
      <c r="F38" s="493"/>
      <c r="G38" s="488"/>
      <c r="H38" s="494"/>
      <c r="I38" s="494"/>
      <c r="J38" s="489"/>
      <c r="K38" s="1547" t="str">
        <f t="shared" si="0"/>
        <v/>
      </c>
      <c r="L38" s="1547"/>
      <c r="M38" s="1547"/>
      <c r="N38" s="1547"/>
      <c r="O38" s="1547"/>
      <c r="P38" s="1547"/>
      <c r="Q38" s="1547"/>
      <c r="R38" s="1547"/>
      <c r="S38" s="1547"/>
      <c r="T38" s="1547"/>
      <c r="U38" s="490"/>
      <c r="V38" s="1547"/>
      <c r="W38" s="1547"/>
      <c r="X38" s="1547"/>
      <c r="Y38" s="1547"/>
      <c r="Z38" s="1547"/>
      <c r="AA38" s="491"/>
      <c r="AB38" s="491"/>
      <c r="AC38" s="491"/>
      <c r="AD38" s="491"/>
      <c r="AE38" s="491"/>
    </row>
    <row r="39" spans="1:31" s="6503" customFormat="1" ht="0.75" customHeight="1">
      <c r="A39" s="6842"/>
      <c r="B39" s="6843"/>
      <c r="C39" s="1067"/>
      <c r="D39" s="485"/>
      <c r="E39" s="492"/>
      <c r="F39" s="493"/>
      <c r="G39" s="488"/>
      <c r="H39" s="423"/>
      <c r="I39" s="423"/>
      <c r="J39" s="489"/>
      <c r="K39" s="1547" t="str">
        <f t="shared" si="0"/>
        <v/>
      </c>
      <c r="L39" s="1547"/>
      <c r="M39" s="1547"/>
      <c r="N39" s="1547"/>
      <c r="O39" s="1547"/>
      <c r="P39" s="1547"/>
      <c r="Q39" s="1547"/>
      <c r="R39" s="1547"/>
      <c r="S39" s="1547"/>
      <c r="T39" s="1547"/>
      <c r="U39" s="490"/>
      <c r="V39" s="1547"/>
      <c r="W39" s="1547"/>
      <c r="X39" s="1547"/>
      <c r="Y39" s="1547"/>
      <c r="Z39" s="1547"/>
      <c r="AA39" s="491"/>
      <c r="AB39" s="491"/>
      <c r="AC39" s="491"/>
      <c r="AD39" s="491"/>
      <c r="AE39" s="491"/>
    </row>
    <row r="40" spans="1:31" s="1830" customFormat="1" ht="15" customHeight="1">
      <c r="A40" s="6842"/>
      <c r="C40" s="1547"/>
      <c r="D40" s="1544"/>
      <c r="E40" s="495"/>
      <c r="F40" s="496" t="s">
        <v>686</v>
      </c>
      <c r="G40" s="497"/>
      <c r="H40" s="498"/>
      <c r="I40" s="498"/>
      <c r="J40" s="220"/>
      <c r="K40" s="1547" t="str">
        <f t="shared" si="0"/>
        <v/>
      </c>
      <c r="L40" s="1547"/>
      <c r="M40" s="1547"/>
      <c r="R40" s="1547"/>
      <c r="U40" s="469"/>
      <c r="AA40" s="1543"/>
      <c r="AB40" s="1543"/>
      <c r="AC40" s="1543"/>
      <c r="AD40" s="1543"/>
      <c r="AE40" s="1543"/>
    </row>
    <row r="41" spans="1:31" ht="11.25" hidden="1" customHeight="1">
      <c r="A41" s="6842" t="s">
        <v>687</v>
      </c>
      <c r="D41" s="1549"/>
      <c r="E41" s="471" t="str">
        <f>FHD_NUM_P_5</f>
        <v/>
      </c>
      <c r="F41" s="1433" t="str">
        <f>FHD_P_5</f>
        <v/>
      </c>
      <c r="G41" s="1786" t="s">
        <v>669</v>
      </c>
      <c r="H41" s="482"/>
      <c r="I41" s="482"/>
      <c r="J41" s="208" t="str">
        <f>FHD_NOTE_P_5</f>
        <v/>
      </c>
      <c r="K41" s="1547" t="str">
        <f t="shared" si="0"/>
        <v/>
      </c>
    </row>
    <row r="42" spans="1:31" ht="11.25" hidden="1" customHeight="1">
      <c r="A42" s="6842"/>
      <c r="D42" s="1549"/>
      <c r="E42" s="471" t="str">
        <f>FHD_NUM_P_6</f>
        <v/>
      </c>
      <c r="F42" s="1433" t="str">
        <f>FHD_P_6</f>
        <v/>
      </c>
      <c r="G42" s="1786" t="s">
        <v>669</v>
      </c>
      <c r="H42" s="482"/>
      <c r="I42" s="482"/>
      <c r="J42" s="208" t="str">
        <f>FHD_NOTE_P_6</f>
        <v/>
      </c>
      <c r="K42" s="1547" t="str">
        <f t="shared" si="0"/>
        <v/>
      </c>
    </row>
    <row r="43" spans="1:31" ht="11.25" hidden="1" customHeight="1">
      <c r="A43" s="6842"/>
      <c r="D43" s="1549"/>
      <c r="E43" s="471" t="str">
        <f>FHD_NUM_P_7</f>
        <v/>
      </c>
      <c r="F43" s="1433" t="str">
        <f>FHD_P_7</f>
        <v/>
      </c>
      <c r="G43" s="1786" t="s">
        <v>669</v>
      </c>
      <c r="H43" s="482"/>
      <c r="I43" s="482"/>
      <c r="J43" s="208" t="str">
        <f>FHD_NOTE_P_7</f>
        <v/>
      </c>
      <c r="K43" s="1547" t="str">
        <f t="shared" si="0"/>
        <v/>
      </c>
    </row>
    <row r="44" spans="1:31" ht="11.25" customHeight="1">
      <c r="D44" s="1549"/>
      <c r="E44" s="471" t="str">
        <f>FHD_NUM_P_8</f>
        <v>2.3</v>
      </c>
      <c r="F44" s="1433" t="str">
        <f>FHD_P_8</f>
        <v>Расходы на приобретаемую электрическую энергию (мощность), используемую в технологическом процессе</v>
      </c>
      <c r="G44" s="1786" t="s">
        <v>669</v>
      </c>
      <c r="H44" s="482"/>
      <c r="I44" s="482"/>
      <c r="J44" s="208" t="str">
        <f>FHD_NOTE_P_8</f>
        <v/>
      </c>
      <c r="K44" s="1547" t="str">
        <f t="shared" si="0"/>
        <v>p</v>
      </c>
    </row>
    <row r="45" spans="1:31" ht="11.25" customHeight="1">
      <c r="D45" s="1549"/>
      <c r="E45" s="471" t="str">
        <f>FHD_NUM_P_9</f>
        <v>2.3.1</v>
      </c>
      <c r="F45" s="1560" t="str">
        <f>FHD_P_9</f>
        <v>Средневзвешенная стоимость 1 кВт.ч (с учетом мощности)</v>
      </c>
      <c r="G45" s="1786" t="s">
        <v>688</v>
      </c>
      <c r="H45" s="482"/>
      <c r="I45" s="482"/>
      <c r="J45" s="208" t="str">
        <f>FHD_NOTE_P_9</f>
        <v/>
      </c>
      <c r="K45" s="1547" t="str">
        <f t="shared" si="0"/>
        <v/>
      </c>
    </row>
    <row r="46" spans="1:31" s="1830" customFormat="1" ht="11.25" customHeight="1">
      <c r="A46" s="895"/>
      <c r="C46" s="1547"/>
      <c r="D46" s="499"/>
      <c r="E46" s="471" t="str">
        <f>FHD_NUM_P_10</f>
        <v>2.3.2</v>
      </c>
      <c r="F46" s="1560" t="str">
        <f>FHD_P_10</f>
        <v>Объём приобретения электрической энергии</v>
      </c>
      <c r="G46" s="1786" t="s">
        <v>689</v>
      </c>
      <c r="H46" s="482"/>
      <c r="I46" s="482"/>
      <c r="J46" s="208" t="str">
        <f>FHD_NOTE_P_10</f>
        <v/>
      </c>
      <c r="K46" s="1547" t="str">
        <f t="shared" si="0"/>
        <v/>
      </c>
      <c r="L46" s="1547"/>
      <c r="M46" s="1547"/>
      <c r="R46" s="1547"/>
      <c r="U46" s="469"/>
      <c r="AA46" s="1543"/>
      <c r="AB46" s="1543"/>
      <c r="AC46" s="1543"/>
      <c r="AD46" s="1543"/>
      <c r="AE46" s="1543"/>
    </row>
    <row r="47" spans="1:31" s="1830" customFormat="1" ht="11.25" customHeight="1">
      <c r="A47" s="897" t="s">
        <v>690</v>
      </c>
      <c r="C47" s="1547"/>
      <c r="D47" s="500"/>
      <c r="E47" s="471" t="str">
        <f>FHD_NUM_P_11</f>
        <v>2.4</v>
      </c>
      <c r="F47" s="1433" t="str">
        <f>FHD_P_11</f>
        <v>Расходы на приобретение холодной воды, используемой в технологическом процессе</v>
      </c>
      <c r="G47" s="1786" t="s">
        <v>669</v>
      </c>
      <c r="H47" s="482"/>
      <c r="I47" s="482"/>
      <c r="J47" s="208" t="str">
        <f>FHD_NOTE_P_11</f>
        <v/>
      </c>
      <c r="K47" s="1547" t="str">
        <f t="shared" si="0"/>
        <v>p</v>
      </c>
      <c r="L47" s="1547"/>
      <c r="M47" s="1547"/>
      <c r="R47" s="1547"/>
      <c r="U47" s="469"/>
      <c r="AA47" s="1543"/>
      <c r="AB47" s="1543"/>
      <c r="AC47" s="1543"/>
      <c r="AD47" s="1543"/>
      <c r="AE47" s="1543"/>
    </row>
    <row r="48" spans="1:31" s="1830" customFormat="1" ht="18" customHeight="1">
      <c r="A48" s="897" t="s">
        <v>691</v>
      </c>
      <c r="C48" s="1547"/>
      <c r="D48" s="1549"/>
      <c r="E48" s="471" t="str">
        <f>FHD_NUM_P_12</f>
        <v>2.5</v>
      </c>
      <c r="F48" s="1433" t="str">
        <f>FHD_P_12</f>
        <v>Расходы на химические реагенты, используемые в технологическом процессе</v>
      </c>
      <c r="G48" s="1786" t="s">
        <v>669</v>
      </c>
      <c r="H48" s="502"/>
      <c r="I48" s="502"/>
      <c r="J48" s="208" t="str">
        <f>FHD_NOTE_P_12</f>
        <v/>
      </c>
      <c r="K48" s="1547" t="str">
        <f t="shared" si="0"/>
        <v>p</v>
      </c>
      <c r="L48" s="1547"/>
      <c r="M48" s="1547"/>
      <c r="R48" s="1547"/>
      <c r="U48" s="469"/>
      <c r="AA48" s="1543"/>
      <c r="AB48" s="1543"/>
      <c r="AC48" s="1543"/>
      <c r="AD48" s="1543"/>
      <c r="AE48" s="1543"/>
    </row>
    <row r="49" spans="1:31" s="2071" customFormat="1" ht="11.25" customHeight="1">
      <c r="A49" s="896"/>
      <c r="C49" s="649"/>
      <c r="D49" s="594"/>
      <c r="E49" s="471" t="str">
        <f>FHD_NUM_P_13</f>
        <v>2.6</v>
      </c>
      <c r="F49" s="14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6" t="s">
        <v>669</v>
      </c>
      <c r="H49" s="482"/>
      <c r="I49" s="482"/>
      <c r="J49" s="208" t="str">
        <f>FHD_NOTE_P_13</f>
        <v/>
      </c>
      <c r="K49" s="1547" t="str">
        <f t="shared" si="0"/>
        <v>p</v>
      </c>
      <c r="L49" s="649"/>
      <c r="M49" s="649"/>
      <c r="R49" s="649"/>
      <c r="U49" s="650"/>
      <c r="AA49" s="651"/>
      <c r="AB49" s="651"/>
      <c r="AC49" s="651"/>
      <c r="AD49" s="651"/>
      <c r="AE49" s="651"/>
    </row>
    <row r="50" spans="1:31" s="2071" customFormat="1" ht="11.25" customHeight="1">
      <c r="A50" s="896"/>
      <c r="C50" s="649"/>
      <c r="D50" s="594"/>
      <c r="E50" s="471" t="str">
        <f>FHD_NUM_P_14</f>
        <v>2.6.1</v>
      </c>
      <c r="F50" s="1560" t="str">
        <f>FHD_P_14</f>
        <v>Расходы на оплату труда основного производственного персонала</v>
      </c>
      <c r="G50" s="1786" t="s">
        <v>669</v>
      </c>
      <c r="H50" s="482"/>
      <c r="I50" s="482"/>
      <c r="J50" s="208" t="str">
        <f>FHD_NOTE_P_14</f>
        <v/>
      </c>
      <c r="K50" s="1547" t="str">
        <f t="shared" si="0"/>
        <v/>
      </c>
      <c r="L50" s="649"/>
      <c r="M50" s="649"/>
      <c r="R50" s="649"/>
      <c r="U50" s="650"/>
      <c r="AA50" s="651"/>
      <c r="AB50" s="651"/>
      <c r="AC50" s="651"/>
      <c r="AD50" s="651"/>
      <c r="AE50" s="651"/>
    </row>
    <row r="51" spans="1:31" s="2071" customFormat="1" ht="11.25" customHeight="1">
      <c r="A51" s="896"/>
      <c r="C51" s="649"/>
      <c r="D51" s="594"/>
      <c r="E51" s="471" t="str">
        <f>FHD_NUM_P_15</f>
        <v>2.6.2</v>
      </c>
      <c r="F51" s="1560" t="str">
        <f>FHD_P_15</f>
        <v>Страховые взносы на обязательное социальное страхование, выплачиваемые из фонда оплаты труда основного производственного персонала</v>
      </c>
      <c r="G51" s="1786" t="s">
        <v>669</v>
      </c>
      <c r="H51" s="482"/>
      <c r="I51" s="482"/>
      <c r="J51" s="208" t="str">
        <f>FHD_NOTE_P_15</f>
        <v/>
      </c>
      <c r="K51" s="1547" t="str">
        <f t="shared" si="0"/>
        <v/>
      </c>
      <c r="L51" s="649"/>
      <c r="M51" s="649"/>
      <c r="R51" s="649"/>
      <c r="U51" s="650"/>
      <c r="AA51" s="651"/>
      <c r="AB51" s="651"/>
      <c r="AC51" s="651"/>
      <c r="AD51" s="651"/>
      <c r="AE51" s="651"/>
    </row>
    <row r="52" spans="1:31" s="1830" customFormat="1" ht="11.25" customHeight="1">
      <c r="A52" s="895"/>
      <c r="C52" s="1547"/>
      <c r="D52" s="1549"/>
      <c r="E52" s="471" t="str">
        <f>FHD_NUM_P_16</f>
        <v>2.7</v>
      </c>
      <c r="F52" s="14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6" t="s">
        <v>669</v>
      </c>
      <c r="H52" s="482"/>
      <c r="I52" s="482"/>
      <c r="J52" s="208" t="str">
        <f>FHD_NOTE_P_16</f>
        <v/>
      </c>
      <c r="K52" s="1547" t="str">
        <f t="shared" si="0"/>
        <v>p</v>
      </c>
      <c r="L52" s="1547"/>
      <c r="M52" s="1552"/>
      <c r="N52" s="462"/>
      <c r="O52" s="462"/>
      <c r="R52" s="1547"/>
      <c r="U52" s="469"/>
      <c r="AA52" s="1543"/>
      <c r="AB52" s="1543"/>
      <c r="AC52" s="1543"/>
      <c r="AD52" s="1543"/>
      <c r="AE52" s="1543"/>
    </row>
    <row r="53" spans="1:31" s="1830" customFormat="1" ht="11.25" customHeight="1">
      <c r="A53" s="895"/>
      <c r="C53" s="1547"/>
      <c r="D53" s="1549"/>
      <c r="E53" s="471" t="str">
        <f>FHD_NUM_P_17</f>
        <v>2.7.1</v>
      </c>
      <c r="F53" s="1560" t="str">
        <f>FHD_P_17</f>
        <v>Расходы на оплату труда административно-управленческого персонала</v>
      </c>
      <c r="G53" s="1786" t="s">
        <v>669</v>
      </c>
      <c r="H53" s="482"/>
      <c r="I53" s="482"/>
      <c r="J53" s="208" t="str">
        <f>FHD_NOTE_P_17</f>
        <v/>
      </c>
      <c r="K53" s="1547" t="str">
        <f t="shared" si="0"/>
        <v/>
      </c>
      <c r="L53" s="1547"/>
      <c r="M53" s="1552"/>
      <c r="N53" s="462"/>
      <c r="O53" s="462"/>
      <c r="R53" s="1547"/>
      <c r="U53" s="469"/>
      <c r="AA53" s="1543"/>
      <c r="AB53" s="1543"/>
      <c r="AC53" s="1543"/>
      <c r="AD53" s="1543"/>
      <c r="AE53" s="1543"/>
    </row>
    <row r="54" spans="1:31" s="1830" customFormat="1" ht="11.25" customHeight="1">
      <c r="A54" s="895"/>
      <c r="C54" s="1547"/>
      <c r="D54" s="1549"/>
      <c r="E54" s="471" t="str">
        <f>FHD_NUM_P_18</f>
        <v>2.7.2</v>
      </c>
      <c r="F54" s="156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6" t="s">
        <v>669</v>
      </c>
      <c r="H54" s="482"/>
      <c r="I54" s="482"/>
      <c r="J54" s="208" t="str">
        <f>FHD_NOTE_P_18</f>
        <v/>
      </c>
      <c r="K54" s="1547" t="str">
        <f t="shared" si="0"/>
        <v/>
      </c>
      <c r="L54" s="1547"/>
      <c r="M54" s="1552"/>
      <c r="N54" s="462"/>
      <c r="O54" s="462"/>
      <c r="R54" s="1547"/>
      <c r="U54" s="469"/>
      <c r="AA54" s="1543"/>
      <c r="AB54" s="1543"/>
      <c r="AC54" s="1543"/>
      <c r="AD54" s="1543"/>
      <c r="AE54" s="1543"/>
    </row>
    <row r="55" spans="1:31" s="1830" customFormat="1" ht="11.25" customHeight="1">
      <c r="A55" s="895"/>
      <c r="C55" s="1547"/>
      <c r="D55" s="500"/>
      <c r="E55" s="471" t="str">
        <f>FHD_NUM_P_19</f>
        <v>2.8</v>
      </c>
      <c r="F55" s="1433" t="str">
        <f>FHD_P_19</f>
        <v>Расходы на амортизацию основных средств и нематериальных активов</v>
      </c>
      <c r="G55" s="1786" t="s">
        <v>669</v>
      </c>
      <c r="H55" s="482"/>
      <c r="I55" s="482"/>
      <c r="J55" s="208" t="str">
        <f>FHD_NOTE_P_19</f>
        <v/>
      </c>
      <c r="K55" s="1547" t="str">
        <f t="shared" si="0"/>
        <v>p</v>
      </c>
      <c r="L55" s="1547"/>
      <c r="M55" s="1547"/>
      <c r="R55" s="1547"/>
      <c r="U55" s="469"/>
      <c r="AA55" s="1543"/>
      <c r="AB55" s="1543"/>
      <c r="AC55" s="1543"/>
      <c r="AD55" s="1543"/>
      <c r="AE55" s="1543"/>
    </row>
    <row r="56" spans="1:31" s="1830" customFormat="1" ht="11.25" customHeight="1">
      <c r="A56" s="895"/>
      <c r="C56" s="1547"/>
      <c r="D56" s="500"/>
      <c r="E56" s="471" t="str">
        <f>FHD_NUM_P_20</f>
        <v>2.8.1</v>
      </c>
      <c r="F56" s="1560" t="str">
        <f>FHD_P_20</f>
        <v>Расходы на амортизацию основных средств</v>
      </c>
      <c r="G56" s="1786" t="s">
        <v>669</v>
      </c>
      <c r="H56" s="482"/>
      <c r="I56" s="482"/>
      <c r="J56" s="208" t="str">
        <f>FHD_NOTE_P_20</f>
        <v/>
      </c>
      <c r="K56" s="1547" t="str">
        <f t="shared" si="0"/>
        <v/>
      </c>
      <c r="L56" s="1547"/>
      <c r="M56" s="1547"/>
      <c r="R56" s="1547"/>
      <c r="U56" s="469"/>
      <c r="AA56" s="1543"/>
      <c r="AB56" s="1543"/>
      <c r="AC56" s="1543"/>
      <c r="AD56" s="1543"/>
      <c r="AE56" s="1543"/>
    </row>
    <row r="57" spans="1:31" s="1830" customFormat="1" ht="11.25" customHeight="1">
      <c r="A57" s="895"/>
      <c r="C57" s="1547"/>
      <c r="D57" s="500"/>
      <c r="E57" s="471" t="str">
        <f>FHD_NUM_P_21</f>
        <v>2.8.2</v>
      </c>
      <c r="F57" s="1560" t="str">
        <f>FHD_P_21</f>
        <v>Расходы на амортизацию нематериальных активов</v>
      </c>
      <c r="G57" s="1786" t="s">
        <v>669</v>
      </c>
      <c r="H57" s="482"/>
      <c r="I57" s="482"/>
      <c r="J57" s="208" t="str">
        <f>FHD_NOTE_P_21</f>
        <v/>
      </c>
      <c r="K57" s="1547" t="str">
        <f t="shared" si="0"/>
        <v/>
      </c>
      <c r="L57" s="1547"/>
      <c r="M57" s="1547"/>
      <c r="R57" s="1547"/>
      <c r="U57" s="469"/>
      <c r="AA57" s="1543"/>
      <c r="AB57" s="1543"/>
      <c r="AC57" s="1543"/>
      <c r="AD57" s="1543"/>
      <c r="AE57" s="1543"/>
    </row>
    <row r="58" spans="1:31" s="1830" customFormat="1" ht="11.25" customHeight="1">
      <c r="A58" s="895"/>
      <c r="C58" s="1547"/>
      <c r="D58" s="1549"/>
      <c r="E58" s="471" t="str">
        <f>FHD_NUM_P_22</f>
        <v>2.9</v>
      </c>
      <c r="F58" s="1433" t="str">
        <f>FHD_P_22</f>
        <v>Расходы на аренду имущества, используемого для осуществления регулируемого вида деятельности</v>
      </c>
      <c r="G58" s="1786" t="s">
        <v>669</v>
      </c>
      <c r="H58" s="482"/>
      <c r="I58" s="482"/>
      <c r="J58" s="208" t="str">
        <f>FHD_NOTE_P_22</f>
        <v/>
      </c>
      <c r="K58" s="1547" t="str">
        <f t="shared" si="0"/>
        <v>p</v>
      </c>
      <c r="L58" s="1547"/>
      <c r="M58" s="1547"/>
      <c r="R58" s="1547"/>
      <c r="U58" s="469"/>
      <c r="AA58" s="1543"/>
      <c r="AB58" s="1543"/>
      <c r="AC58" s="1543"/>
      <c r="AD58" s="1543"/>
      <c r="AE58" s="1543"/>
    </row>
    <row r="59" spans="1:31" s="1830" customFormat="1" ht="11.25" customHeight="1">
      <c r="A59" s="895"/>
      <c r="C59" s="1547"/>
      <c r="D59" s="500"/>
      <c r="E59" s="471" t="str">
        <f>FHD_NUM_P_23</f>
        <v>2.10</v>
      </c>
      <c r="F59" s="1433" t="str">
        <f>FHD_P_23</f>
        <v>Общепроизводственные расходы, в том числе:</v>
      </c>
      <c r="G59" s="1786" t="s">
        <v>669</v>
      </c>
      <c r="H59" s="482"/>
      <c r="I59" s="482"/>
      <c r="J59" s="208" t="str">
        <f>FHD_NOTE_P_23</f>
        <v>Указывается общая сумма общепроизводственных расходов.</v>
      </c>
      <c r="K59" s="1547" t="str">
        <f t="shared" si="0"/>
        <v>p</v>
      </c>
      <c r="L59" s="1547"/>
      <c r="M59" s="1547"/>
      <c r="R59" s="1547"/>
      <c r="U59" s="469"/>
      <c r="AA59" s="1543"/>
      <c r="AB59" s="1543"/>
      <c r="AC59" s="1543"/>
      <c r="AD59" s="1543"/>
      <c r="AE59" s="1543"/>
    </row>
    <row r="60" spans="1:31" s="1830" customFormat="1" ht="11.25" customHeight="1">
      <c r="A60" s="895"/>
      <c r="C60" s="1547"/>
      <c r="D60" s="500"/>
      <c r="E60" s="471" t="str">
        <f>FHD_NUM_P_24</f>
        <v>2.10.1</v>
      </c>
      <c r="F60" s="1560" t="str">
        <f>FHD_P_24</f>
        <v>Расходы на текущий ремонт</v>
      </c>
      <c r="G60" s="1786" t="s">
        <v>669</v>
      </c>
      <c r="H60" s="482"/>
      <c r="I60" s="482"/>
      <c r="J60" s="208" t="str">
        <f>FHD_NOTE_P_24</f>
        <v>Указываются расходы на текущий ремонт, отнесенные к общепроизводственным расходам.</v>
      </c>
      <c r="K60" s="1547" t="str">
        <f t="shared" si="0"/>
        <v/>
      </c>
      <c r="L60" s="1547"/>
      <c r="M60" s="1547"/>
      <c r="R60" s="1547"/>
      <c r="U60" s="469"/>
      <c r="AA60" s="1543"/>
      <c r="AB60" s="1543"/>
      <c r="AC60" s="1543"/>
      <c r="AD60" s="1543"/>
      <c r="AE60" s="1543"/>
    </row>
    <row r="61" spans="1:31" s="1830" customFormat="1" ht="11.25" customHeight="1">
      <c r="A61" s="895"/>
      <c r="C61" s="1547"/>
      <c r="D61" s="500"/>
      <c r="E61" s="471" t="str">
        <f>FHD_NUM_P_25</f>
        <v>2.10.2</v>
      </c>
      <c r="F61" s="1560" t="str">
        <f>FHD_P_25</f>
        <v>Расходы на капитальный ремонт</v>
      </c>
      <c r="G61" s="1786" t="s">
        <v>669</v>
      </c>
      <c r="H61" s="482"/>
      <c r="I61" s="482"/>
      <c r="J61" s="208" t="str">
        <f>FHD_NOTE_P_25</f>
        <v>Указываются расходы на капитальный ремонт, отнесенные к общепроизводственным расходам.</v>
      </c>
      <c r="K61" s="1547" t="str">
        <f t="shared" si="0"/>
        <v/>
      </c>
      <c r="L61" s="1547"/>
      <c r="M61" s="1547"/>
      <c r="R61" s="1547"/>
      <c r="U61" s="469"/>
      <c r="AA61" s="1543"/>
      <c r="AB61" s="1543"/>
      <c r="AC61" s="1543"/>
      <c r="AD61" s="1543"/>
      <c r="AE61" s="1543"/>
    </row>
    <row r="62" spans="1:31" s="1830" customFormat="1" ht="11.25" customHeight="1">
      <c r="A62" s="895"/>
      <c r="C62" s="1547"/>
      <c r="D62" s="1549"/>
      <c r="E62" s="471" t="str">
        <f>FHD_NUM_P_26</f>
        <v>2.11</v>
      </c>
      <c r="F62" s="1433" t="str">
        <f>FHD_P_26</f>
        <v>Общехозяйственные расходы, в том числе:</v>
      </c>
      <c r="G62" s="1786" t="s">
        <v>669</v>
      </c>
      <c r="H62" s="482"/>
      <c r="I62" s="482"/>
      <c r="J62" s="208" t="str">
        <f>FHD_NOTE_P_26</f>
        <v>Указывается общая сумма общехозяйственных расходов.</v>
      </c>
      <c r="K62" s="1547" t="str">
        <f t="shared" si="0"/>
        <v>p</v>
      </c>
      <c r="L62" s="1547"/>
      <c r="M62" s="1547"/>
      <c r="R62" s="1547"/>
      <c r="U62" s="469"/>
      <c r="AA62" s="1543"/>
      <c r="AB62" s="1543"/>
      <c r="AC62" s="1543"/>
      <c r="AD62" s="1543"/>
      <c r="AE62" s="1543"/>
    </row>
    <row r="63" spans="1:31" s="1830" customFormat="1" ht="11.25" customHeight="1">
      <c r="A63" s="895"/>
      <c r="C63" s="1547"/>
      <c r="D63" s="1549"/>
      <c r="E63" s="471" t="str">
        <f>FHD_NUM_P_27</f>
        <v>2.11.1</v>
      </c>
      <c r="F63" s="1560" t="str">
        <f>FHD_P_27</f>
        <v>Расходы на текущий ремонт</v>
      </c>
      <c r="G63" s="1786" t="s">
        <v>669</v>
      </c>
      <c r="H63" s="482"/>
      <c r="I63" s="482"/>
      <c r="J63" s="208" t="str">
        <f>FHD_NOTE_P_27</f>
        <v>Указываются расходы на текущий ремонт, отнесенные к общехозяйственным расходам.</v>
      </c>
      <c r="K63" s="1547" t="str">
        <f t="shared" si="0"/>
        <v/>
      </c>
      <c r="L63" s="1547"/>
      <c r="M63" s="1547"/>
      <c r="R63" s="1547"/>
      <c r="U63" s="469"/>
      <c r="AA63" s="1543"/>
      <c r="AB63" s="1543"/>
      <c r="AC63" s="1543"/>
      <c r="AD63" s="1543"/>
      <c r="AE63" s="1543"/>
    </row>
    <row r="64" spans="1:31" s="1830" customFormat="1" ht="11.25" customHeight="1">
      <c r="A64" s="895"/>
      <c r="C64" s="1547"/>
      <c r="D64" s="1549"/>
      <c r="E64" s="471" t="str">
        <f>FHD_NUM_P_28</f>
        <v>2.11.2</v>
      </c>
      <c r="F64" s="1560" t="str">
        <f>FHD_P_28</f>
        <v>Расходы на капитальный ремонт</v>
      </c>
      <c r="G64" s="1786" t="s">
        <v>669</v>
      </c>
      <c r="H64" s="482"/>
      <c r="I64" s="482"/>
      <c r="J64" s="208" t="str">
        <f>FHD_NOTE_P_28</f>
        <v>Указываются расходы на капитальный ремонт, отнесенные к общехозяйственным расходам.</v>
      </c>
      <c r="K64" s="1547" t="str">
        <f t="shared" si="0"/>
        <v/>
      </c>
      <c r="L64" s="1547"/>
      <c r="M64" s="1547"/>
      <c r="R64" s="1547"/>
      <c r="U64" s="469"/>
      <c r="AA64" s="1543"/>
      <c r="AB64" s="1543"/>
      <c r="AC64" s="1543"/>
      <c r="AD64" s="1543"/>
      <c r="AE64" s="1543"/>
    </row>
    <row r="65" spans="1:31" s="1830" customFormat="1" ht="11.25" customHeight="1">
      <c r="A65" s="895"/>
      <c r="C65" s="1547"/>
      <c r="D65" s="1549"/>
      <c r="E65" s="471" t="str">
        <f>FHD_NUM_P_29</f>
        <v>2.12</v>
      </c>
      <c r="F65" s="1433" t="str">
        <f>FHD_P_29</f>
        <v>Расходы на капитальный и текущий ремонт основных средств</v>
      </c>
      <c r="G65" s="1786" t="s">
        <v>669</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7" t="str">
        <f t="shared" si="0"/>
        <v>p</v>
      </c>
      <c r="L65" s="1547"/>
      <c r="M65" s="1547"/>
      <c r="R65" s="1547"/>
      <c r="U65" s="469"/>
      <c r="AA65" s="1543"/>
      <c r="AB65" s="1543"/>
      <c r="AC65" s="1543"/>
      <c r="AD65" s="1543"/>
      <c r="AE65" s="1543"/>
    </row>
    <row r="66" spans="1:31" s="1830" customFormat="1" ht="11.25" customHeight="1">
      <c r="A66" s="895"/>
      <c r="C66" s="1547"/>
      <c r="D66" s="1549"/>
      <c r="E66" s="471" t="str">
        <f>FHD_NUM_P_30</f>
        <v>2.12.1</v>
      </c>
      <c r="F66" s="156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6" t="s">
        <v>424</v>
      </c>
      <c r="H66" s="1559" t="s">
        <v>692</v>
      </c>
      <c r="I66" s="1559" t="s">
        <v>692</v>
      </c>
      <c r="J66" s="208" t="str">
        <f>FHD_NOTE_P_30</f>
        <v/>
      </c>
      <c r="K66" s="1547" t="str">
        <f t="shared" si="0"/>
        <v/>
      </c>
      <c r="L66" s="1547">
        <f>IFERROR(MATCH("есть",B_FHD_FLAG_INDEX_1,0),0)</f>
        <v>0</v>
      </c>
      <c r="M66" s="1547"/>
      <c r="R66" s="1547"/>
      <c r="U66" s="469"/>
      <c r="AA66" s="1543"/>
      <c r="AB66" s="1543"/>
      <c r="AC66" s="1543"/>
      <c r="AD66" s="1543"/>
      <c r="AE66" s="1543"/>
    </row>
    <row r="67" spans="1:31" s="1830" customFormat="1" ht="22.5" hidden="1" customHeight="1">
      <c r="A67" s="6842" t="s">
        <v>693</v>
      </c>
      <c r="C67" s="1547"/>
      <c r="D67" s="1549"/>
      <c r="E67" s="471" t="str">
        <f>FHD_NUM_P_31</f>
        <v/>
      </c>
      <c r="F67" s="1433" t="str">
        <f>FHD_P_31</f>
        <v/>
      </c>
      <c r="G67" s="1786" t="s">
        <v>669</v>
      </c>
      <c r="H67" s="482"/>
      <c r="I67" s="482"/>
      <c r="J67" s="208" t="str">
        <f>FHD_NOTE_P_31</f>
        <v/>
      </c>
      <c r="K67" s="1547" t="str">
        <f t="shared" si="0"/>
        <v/>
      </c>
      <c r="L67" s="1547"/>
      <c r="M67" s="1547"/>
      <c r="R67" s="1547"/>
      <c r="U67" s="469"/>
      <c r="AA67" s="1543"/>
      <c r="AB67" s="1543"/>
      <c r="AC67" s="1543"/>
      <c r="AD67" s="1543"/>
      <c r="AE67" s="1543"/>
    </row>
    <row r="68" spans="1:31" s="1830" customFormat="1" ht="45" hidden="1" customHeight="1">
      <c r="A68" s="6842"/>
      <c r="C68" s="1547"/>
      <c r="D68" s="1549"/>
      <c r="E68" s="471" t="str">
        <f>FHD_NUM_P_32</f>
        <v/>
      </c>
      <c r="F68" s="1560" t="str">
        <f>FHD_P_32</f>
        <v/>
      </c>
      <c r="G68" s="1786" t="s">
        <v>424</v>
      </c>
      <c r="H68" s="1559" t="s">
        <v>692</v>
      </c>
      <c r="I68" s="1559" t="s">
        <v>692</v>
      </c>
      <c r="J68" s="208" t="str">
        <f>FHD_NOTE_P_32</f>
        <v/>
      </c>
      <c r="K68" s="1547" t="str">
        <f t="shared" si="0"/>
        <v/>
      </c>
      <c r="L68" s="1547">
        <f>IFERROR(MATCH("есть",B_FHD_FLAG_INDEX_2,0),0)</f>
        <v>0</v>
      </c>
      <c r="M68" s="1547"/>
      <c r="R68" s="1547"/>
      <c r="U68" s="469"/>
      <c r="AA68" s="1543"/>
      <c r="AB68" s="1543"/>
      <c r="AC68" s="1543"/>
      <c r="AD68" s="1543"/>
      <c r="AE68" s="1543"/>
    </row>
    <row r="69" spans="1:31" s="1830" customFormat="1" ht="11.25" customHeight="1">
      <c r="A69" s="895"/>
      <c r="C69" s="1547"/>
      <c r="D69" s="1549"/>
      <c r="E69" s="471" t="str">
        <f>FHD_NUM_P_33</f>
        <v>2.13</v>
      </c>
      <c r="F69" s="143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7" t="s">
        <v>669</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7" t="str">
        <f t="shared" si="0"/>
        <v>p</v>
      </c>
      <c r="L69" s="1547"/>
      <c r="M69" s="1547"/>
      <c r="R69" s="1547"/>
      <c r="U69" s="469"/>
      <c r="AA69" s="1543"/>
      <c r="AB69" s="1543"/>
      <c r="AC69" s="1543"/>
      <c r="AD69" s="1543"/>
      <c r="AE69" s="1543"/>
    </row>
    <row r="70" spans="1:31" s="1832" customFormat="1" ht="0.75" customHeight="1">
      <c r="A70" s="1067"/>
      <c r="D70" s="473"/>
      <c r="E70" s="920" t="str">
        <f>E69&amp;".0"</f>
        <v>2.13.0</v>
      </c>
      <c r="F70" s="899"/>
      <c r="G70" s="920"/>
      <c r="H70" s="900"/>
      <c r="I70" s="900"/>
      <c r="J70" s="901"/>
      <c r="K70" s="1547" t="str">
        <f t="shared" si="0"/>
        <v/>
      </c>
    </row>
    <row r="71" spans="1:31" s="1830" customFormat="1" ht="14.25" customHeight="1">
      <c r="A71" s="895"/>
      <c r="C71" s="1547"/>
      <c r="D71" s="1544"/>
      <c r="E71" s="495"/>
      <c r="F71" s="496" t="s">
        <v>694</v>
      </c>
      <c r="G71" s="497"/>
      <c r="H71" s="498"/>
      <c r="I71" s="498"/>
      <c r="J71" s="220"/>
      <c r="K71" s="1547"/>
      <c r="L71" s="1547"/>
      <c r="M71" s="1547"/>
      <c r="R71" s="1547"/>
      <c r="U71" s="469"/>
      <c r="AA71" s="1543"/>
      <c r="AB71" s="1543"/>
      <c r="AC71" s="1543"/>
      <c r="AD71" s="1543"/>
      <c r="AE71" s="1543"/>
    </row>
    <row r="72" spans="1:31" s="1830" customFormat="1" ht="18.75" customHeight="1">
      <c r="A72" s="897" t="s">
        <v>695</v>
      </c>
      <c r="C72" s="1547"/>
      <c r="D72" s="1549"/>
      <c r="E72" s="471" t="str">
        <f>FHD_NUM_P_34</f>
        <v>3</v>
      </c>
      <c r="F72" s="1788" t="str">
        <f>FHD_P_34</f>
        <v>Валовая прибыль (убытки) от реализации товаров и оказания услуг по регулируемому виду деятельности</v>
      </c>
      <c r="G72" s="1786" t="s">
        <v>669</v>
      </c>
      <c r="H72" s="482"/>
      <c r="I72" s="482"/>
      <c r="J72" s="208" t="str">
        <f>FHD_NOTE_P_34</f>
        <v/>
      </c>
      <c r="K72" s="468"/>
      <c r="L72" s="1547"/>
      <c r="M72" s="1547"/>
      <c r="R72" s="1547"/>
      <c r="U72" s="469"/>
      <c r="AA72" s="1543"/>
      <c r="AB72" s="1543"/>
      <c r="AC72" s="1543"/>
      <c r="AD72" s="1543"/>
      <c r="AE72" s="1543"/>
    </row>
    <row r="73" spans="1:31" s="1830" customFormat="1" ht="18.75" customHeight="1">
      <c r="A73" s="895"/>
      <c r="C73" s="1547"/>
      <c r="D73" s="500"/>
      <c r="E73" s="471" t="str">
        <f>FHD_NUM_P_35</f>
        <v>4</v>
      </c>
      <c r="F73" s="1788" t="str">
        <f>FHD_P_35</f>
        <v>Чистая прибыль, полученная от регулируемого вида деятельности, в том числе:</v>
      </c>
      <c r="G73" s="1786" t="s">
        <v>669</v>
      </c>
      <c r="H73" s="482"/>
      <c r="I73" s="482"/>
      <c r="J73" s="208" t="str">
        <f>FHD_NOTE_P_35</f>
        <v>Указывается общая сумма чистой прибыли, полученной от регулируемого вида деятельности.</v>
      </c>
      <c r="K73" s="468"/>
      <c r="L73" s="1547"/>
      <c r="M73" s="1547"/>
      <c r="R73" s="1547"/>
      <c r="U73" s="469"/>
      <c r="AA73" s="1543"/>
      <c r="AB73" s="1543"/>
      <c r="AC73" s="1543"/>
      <c r="AD73" s="1543"/>
      <c r="AE73" s="1543"/>
    </row>
    <row r="74" spans="1:31" s="1830" customFormat="1" ht="18.75" customHeight="1">
      <c r="A74" s="895"/>
      <c r="C74" s="1547"/>
      <c r="D74" s="1549"/>
      <c r="E74" s="471" t="str">
        <f>FHD_NUM_P_36</f>
        <v>4.1</v>
      </c>
      <c r="F74" s="14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6" t="s">
        <v>669</v>
      </c>
      <c r="H74" s="482"/>
      <c r="I74" s="482"/>
      <c r="J74" s="208" t="str">
        <f>FHD_NOTE_P_36</f>
        <v/>
      </c>
      <c r="K74" s="468"/>
      <c r="L74" s="1547"/>
      <c r="M74" s="1547"/>
      <c r="R74" s="1547"/>
      <c r="U74" s="469"/>
      <c r="AA74" s="1543"/>
      <c r="AB74" s="1543"/>
      <c r="AC74" s="1543"/>
      <c r="AD74" s="1543"/>
      <c r="AE74" s="1543"/>
    </row>
    <row r="75" spans="1:31" s="1830" customFormat="1" ht="18.75" customHeight="1">
      <c r="A75" s="895"/>
      <c r="C75" s="1547"/>
      <c r="D75" s="1549"/>
      <c r="E75" s="471" t="str">
        <f>FHD_NUM_P_37</f>
        <v>5</v>
      </c>
      <c r="F75" s="1788" t="str">
        <f>FHD_P_37</f>
        <v>Изменение стоимости основных фондов, в том числе:</v>
      </c>
      <c r="G75" s="1786" t="s">
        <v>669</v>
      </c>
      <c r="H75" s="482"/>
      <c r="I75" s="482"/>
      <c r="J75" s="208" t="str">
        <f>FHD_NOTE_P_37</f>
        <v>Указывается общее изменение стоимости основных фондов.</v>
      </c>
      <c r="K75" s="468"/>
      <c r="L75" s="1547"/>
      <c r="M75" s="1547"/>
      <c r="R75" s="1547"/>
      <c r="U75" s="469"/>
      <c r="AA75" s="1543"/>
      <c r="AB75" s="1543"/>
      <c r="AC75" s="1543"/>
      <c r="AD75" s="1543"/>
      <c r="AE75" s="1543"/>
    </row>
    <row r="76" spans="1:31" s="1830" customFormat="1" ht="18.75" customHeight="1">
      <c r="A76" s="895"/>
      <c r="C76" s="1547"/>
      <c r="D76" s="1549"/>
      <c r="E76" s="471" t="str">
        <f>FHD_NUM_P_38</f>
        <v>5.1</v>
      </c>
      <c r="F76" s="1433" t="str">
        <f>FHD_P_38</f>
        <v>Изменение стоимости основных фондов за счет:</v>
      </c>
      <c r="G76" s="1786" t="s">
        <v>669</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7"/>
      <c r="M76" s="1547"/>
      <c r="R76" s="1547"/>
      <c r="U76" s="469"/>
      <c r="AA76" s="1543"/>
      <c r="AB76" s="1543"/>
      <c r="AC76" s="1543"/>
      <c r="AD76" s="1543"/>
      <c r="AE76" s="1543"/>
    </row>
    <row r="77" spans="1:31" s="1830" customFormat="1" ht="18.75" customHeight="1">
      <c r="A77" s="895"/>
      <c r="C77" s="1547"/>
      <c r="D77" s="1549"/>
      <c r="E77" s="471" t="str">
        <f>FHD_NUM_P_39</f>
        <v>5.1.1</v>
      </c>
      <c r="F77" s="1560" t="str">
        <f>FHD_P_39</f>
        <v>Изменения стоимости основных фондов за счет их ввода в эксплуатацию</v>
      </c>
      <c r="G77" s="1786" t="s">
        <v>669</v>
      </c>
      <c r="H77" s="482"/>
      <c r="I77" s="482"/>
      <c r="J77" s="208" t="str">
        <f>FHD_NOTE_P_39</f>
        <v>Указываются изменение стоимости основных фондов за счет их ввода в эксплуатацию.</v>
      </c>
      <c r="K77" s="468"/>
      <c r="L77" s="1547"/>
      <c r="M77" s="1547"/>
      <c r="R77" s="1547"/>
      <c r="U77" s="469"/>
      <c r="AA77" s="1543"/>
      <c r="AB77" s="1543"/>
      <c r="AC77" s="1543"/>
      <c r="AD77" s="1543"/>
      <c r="AE77" s="1543"/>
    </row>
    <row r="78" spans="1:31" s="1830" customFormat="1" ht="18.75" customHeight="1">
      <c r="A78" s="895"/>
      <c r="C78" s="1547"/>
      <c r="D78" s="1549"/>
      <c r="E78" s="471" t="str">
        <f>FHD_NUM_P_40</f>
        <v>5.1.2</v>
      </c>
      <c r="F78" s="1560" t="str">
        <f>FHD_P_40</f>
        <v>Изменения стоимости основных фондов за счет их вывода в эксплуатацию</v>
      </c>
      <c r="G78" s="1786" t="s">
        <v>669</v>
      </c>
      <c r="H78" s="482"/>
      <c r="I78" s="482"/>
      <c r="J78" s="208" t="str">
        <f>FHD_NOTE_P_40</f>
        <v>Указываются изменение стоимости основных фондов за счет их вывода из эксплуатации.</v>
      </c>
      <c r="K78" s="468"/>
      <c r="L78" s="1547"/>
      <c r="M78" s="1547"/>
      <c r="R78" s="1547"/>
      <c r="U78" s="469"/>
      <c r="AA78" s="1543"/>
      <c r="AB78" s="1543"/>
      <c r="AC78" s="1543"/>
      <c r="AD78" s="1543"/>
      <c r="AE78" s="1543"/>
    </row>
    <row r="79" spans="1:31" s="1830" customFormat="1" ht="18.75" customHeight="1">
      <c r="A79" s="895"/>
      <c r="C79" s="1547"/>
      <c r="D79" s="1549"/>
      <c r="E79" s="471" t="str">
        <f>FHD_NUM_P_41</f>
        <v>5.2</v>
      </c>
      <c r="F79" s="1433" t="str">
        <f>FHD_P_41</f>
        <v>Изменение стоимости основных фондов за счет их переоценки</v>
      </c>
      <c r="G79" s="1787" t="s">
        <v>669</v>
      </c>
      <c r="H79" s="482"/>
      <c r="I79" s="482"/>
      <c r="J79" s="208" t="str">
        <f>FHD_NOTE_P_41</f>
        <v/>
      </c>
      <c r="K79" s="468"/>
      <c r="L79" s="1547"/>
      <c r="M79" s="1547"/>
      <c r="R79" s="1547"/>
      <c r="U79" s="469"/>
      <c r="AA79" s="1543"/>
      <c r="AB79" s="1543"/>
      <c r="AC79" s="1543"/>
      <c r="AD79" s="1543"/>
      <c r="AE79" s="1543"/>
    </row>
    <row r="80" spans="1:31" s="1830" customFormat="1" ht="18.75" hidden="1" customHeight="1">
      <c r="A80" s="897" t="s">
        <v>696</v>
      </c>
      <c r="C80" s="1547"/>
      <c r="D80" s="1549"/>
      <c r="E80" s="471" t="str">
        <f>FHD_NUM_P_42</f>
        <v/>
      </c>
      <c r="F80" s="1788" t="str">
        <f>FHD_P_42</f>
        <v/>
      </c>
      <c r="G80" s="1786" t="s">
        <v>669</v>
      </c>
      <c r="H80" s="885"/>
      <c r="I80" s="482"/>
      <c r="J80" s="208" t="str">
        <f>FHD_NOTE_P_42</f>
        <v/>
      </c>
      <c r="K80" s="468"/>
      <c r="L80" s="1547"/>
      <c r="M80" s="1547"/>
      <c r="R80" s="1547"/>
      <c r="U80" s="469"/>
      <c r="AA80" s="1543"/>
      <c r="AB80" s="1543"/>
      <c r="AC80" s="1543"/>
      <c r="AD80" s="1543"/>
      <c r="AE80" s="1543"/>
    </row>
    <row r="81" spans="1:31" s="1830" customFormat="1" ht="18.75" customHeight="1">
      <c r="A81" s="895"/>
      <c r="C81" s="1547"/>
      <c r="D81" s="1549"/>
      <c r="E81" s="471" t="str">
        <f>FHD_NUM_P_43</f>
        <v>6</v>
      </c>
      <c r="F81" s="1788" t="str">
        <f>FHD_P_43</f>
        <v>Годовая бухгалтерская (финансовая) отчетность, включая бухгалтерский баланс и приложения к нему</v>
      </c>
      <c r="G81" s="1786" t="s">
        <v>424</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7"/>
      <c r="M81" s="1547"/>
      <c r="R81" s="1547"/>
      <c r="U81" s="469"/>
      <c r="AA81" s="1543"/>
      <c r="AB81" s="1543"/>
      <c r="AC81" s="1543"/>
      <c r="AD81" s="1543"/>
      <c r="AE81" s="1543"/>
    </row>
    <row r="82" spans="1:31" s="6504" customFormat="1" ht="18.75" hidden="1" customHeight="1">
      <c r="A82" s="6842" t="s">
        <v>697</v>
      </c>
      <c r="C82" s="654"/>
      <c r="D82" s="652"/>
      <c r="E82" s="471" t="str">
        <f>FHD_NUM_P_44</f>
        <v/>
      </c>
      <c r="F82" s="1788" t="str">
        <f>FHD_P_44</f>
        <v/>
      </c>
      <c r="G82" s="1789" t="s">
        <v>698</v>
      </c>
      <c r="H82" s="886"/>
      <c r="I82" s="502"/>
      <c r="J82" s="208" t="str">
        <f>FHD_NOTE_P_44</f>
        <v/>
      </c>
      <c r="K82" s="653"/>
      <c r="L82" s="654"/>
      <c r="M82" s="654"/>
      <c r="R82" s="654"/>
      <c r="U82" s="655"/>
      <c r="AA82" s="656"/>
      <c r="AB82" s="656"/>
      <c r="AC82" s="656"/>
      <c r="AD82" s="656"/>
      <c r="AE82" s="656"/>
    </row>
    <row r="83" spans="1:31" s="6504" customFormat="1" ht="18.75" hidden="1" customHeight="1">
      <c r="A83" s="6842"/>
      <c r="C83" s="654"/>
      <c r="D83" s="652"/>
      <c r="E83" s="471" t="str">
        <f>FHD_NUM_P_45</f>
        <v/>
      </c>
      <c r="F83" s="1788" t="str">
        <f>FHD_P_45</f>
        <v/>
      </c>
      <c r="G83" s="1789" t="s">
        <v>698</v>
      </c>
      <c r="H83" s="886"/>
      <c r="I83" s="502"/>
      <c r="J83" s="208" t="str">
        <f>FHD_NOTE_P_45</f>
        <v/>
      </c>
      <c r="K83" s="653"/>
      <c r="L83" s="654"/>
      <c r="M83" s="654"/>
      <c r="R83" s="654"/>
      <c r="U83" s="655"/>
      <c r="AA83" s="656"/>
      <c r="AB83" s="656"/>
      <c r="AC83" s="656"/>
      <c r="AD83" s="656"/>
      <c r="AE83" s="656"/>
    </row>
    <row r="84" spans="1:31" s="6504" customFormat="1" ht="18.75" hidden="1" customHeight="1">
      <c r="A84" s="6842"/>
      <c r="C84" s="654"/>
      <c r="D84" s="657"/>
      <c r="E84" s="471" t="str">
        <f>FHD_NUM_P_46</f>
        <v/>
      </c>
      <c r="F84" s="1788" t="str">
        <f>FHD_P_46</f>
        <v/>
      </c>
      <c r="G84" s="1789" t="s">
        <v>698</v>
      </c>
      <c r="H84" s="886"/>
      <c r="I84" s="502"/>
      <c r="J84" s="208" t="str">
        <f>FHD_NOTE_P_46</f>
        <v/>
      </c>
      <c r="K84" s="653"/>
      <c r="L84" s="654"/>
      <c r="M84" s="654"/>
      <c r="R84" s="654"/>
      <c r="U84" s="655"/>
      <c r="AA84" s="656"/>
      <c r="AB84" s="656"/>
      <c r="AC84" s="656"/>
      <c r="AD84" s="656"/>
      <c r="AE84" s="656"/>
    </row>
    <row r="85" spans="1:31" s="6504" customFormat="1" ht="18.75" hidden="1" customHeight="1">
      <c r="A85" s="6842"/>
      <c r="C85" s="654"/>
      <c r="D85" s="652"/>
      <c r="E85" s="471" t="str">
        <f>FHD_NUM_P_47</f>
        <v/>
      </c>
      <c r="F85" s="1788" t="str">
        <f>FHD_P_47</f>
        <v/>
      </c>
      <c r="G85" s="1789" t="s">
        <v>698</v>
      </c>
      <c r="H85" s="886"/>
      <c r="I85" s="502"/>
      <c r="J85" s="208" t="str">
        <f>FHD_NOTE_P_47</f>
        <v/>
      </c>
      <c r="K85" s="653"/>
      <c r="L85" s="654"/>
      <c r="M85" s="654"/>
      <c r="R85" s="654"/>
      <c r="U85" s="655"/>
      <c r="AA85" s="656"/>
      <c r="AB85" s="656"/>
      <c r="AC85" s="656"/>
      <c r="AD85" s="656"/>
      <c r="AE85" s="656"/>
    </row>
    <row r="86" spans="1:31" s="6505" customFormat="1" ht="18.75" hidden="1" customHeight="1">
      <c r="A86" s="6842"/>
      <c r="B86" s="823"/>
      <c r="C86" s="654"/>
      <c r="D86" s="652"/>
      <c r="E86" s="471" t="str">
        <f>FHD_NUM_P_48</f>
        <v/>
      </c>
      <c r="F86" s="1788" t="str">
        <f>FHD_P_48</f>
        <v/>
      </c>
      <c r="G86" s="1789" t="s">
        <v>698</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6505" customFormat="1" ht="18.75" hidden="1" customHeight="1">
      <c r="A87" s="6842"/>
      <c r="B87" s="823"/>
      <c r="C87" s="654"/>
      <c r="D87" s="652"/>
      <c r="E87" s="471" t="str">
        <f>FHD_NUM_P_49</f>
        <v/>
      </c>
      <c r="F87" s="1788" t="str">
        <f>FHD_P_49</f>
        <v/>
      </c>
      <c r="G87" s="1789" t="s">
        <v>698</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6505" customFormat="1" ht="18.75" hidden="1" customHeight="1">
      <c r="A88" s="6842"/>
      <c r="B88" s="823"/>
      <c r="C88" s="654"/>
      <c r="D88" s="652"/>
      <c r="E88" s="471" t="str">
        <f>FHD_NUM_P_50</f>
        <v/>
      </c>
      <c r="F88" s="1788" t="str">
        <f>FHD_P_50</f>
        <v/>
      </c>
      <c r="G88" s="1789" t="s">
        <v>698</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6505" customFormat="1" ht="18.75" hidden="1" customHeight="1">
      <c r="A89" s="6842"/>
      <c r="B89" s="823"/>
      <c r="C89" s="654"/>
      <c r="D89" s="652"/>
      <c r="E89" s="471" t="str">
        <f>FHD_NUM_P_51</f>
        <v/>
      </c>
      <c r="F89" s="1788" t="str">
        <f>FHD_P_51</f>
        <v/>
      </c>
      <c r="G89" s="1789" t="s">
        <v>698</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6505" customFormat="1" ht="18.75" hidden="1" customHeight="1">
      <c r="A90" s="6842"/>
      <c r="B90" s="823"/>
      <c r="C90" s="654"/>
      <c r="D90" s="652"/>
      <c r="E90" s="471" t="str">
        <f>FHD_NUM_P_52</f>
        <v/>
      </c>
      <c r="F90" s="1788" t="str">
        <f>FHD_P_52</f>
        <v/>
      </c>
      <c r="G90" s="1789" t="s">
        <v>675</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6504" customFormat="1" ht="18.75" hidden="1" customHeight="1">
      <c r="A91" s="6842" t="s">
        <v>699</v>
      </c>
      <c r="C91" s="654"/>
      <c r="D91" s="652"/>
      <c r="E91" s="471" t="str">
        <f>FHD_NUM_P_53</f>
        <v/>
      </c>
      <c r="F91" s="1788" t="str">
        <f>FHD_P_53</f>
        <v/>
      </c>
      <c r="G91" s="1789" t="s">
        <v>698</v>
      </c>
      <c r="H91" s="886"/>
      <c r="I91" s="502"/>
      <c r="J91" s="208" t="str">
        <f>FHD_NOTE_P_53</f>
        <v/>
      </c>
      <c r="K91" s="653"/>
      <c r="L91" s="654"/>
      <c r="M91" s="654"/>
      <c r="R91" s="654"/>
      <c r="U91" s="655"/>
      <c r="AA91" s="656"/>
      <c r="AB91" s="656"/>
      <c r="AC91" s="656"/>
      <c r="AD91" s="656"/>
      <c r="AE91" s="656"/>
    </row>
    <row r="92" spans="1:31" s="6504" customFormat="1" ht="18.75" hidden="1" customHeight="1">
      <c r="A92" s="6842"/>
      <c r="C92" s="654"/>
      <c r="D92" s="652"/>
      <c r="E92" s="471" t="str">
        <f>FHD_NUM_P_54</f>
        <v/>
      </c>
      <c r="F92" s="1788" t="str">
        <f>FHD_P_54</f>
        <v/>
      </c>
      <c r="G92" s="1789" t="s">
        <v>698</v>
      </c>
      <c r="H92" s="886"/>
      <c r="I92" s="502"/>
      <c r="J92" s="208" t="str">
        <f>FHD_NOTE_P_54</f>
        <v/>
      </c>
      <c r="K92" s="653"/>
      <c r="L92" s="654"/>
      <c r="M92" s="654"/>
      <c r="R92" s="654"/>
      <c r="U92" s="655"/>
      <c r="AA92" s="656"/>
      <c r="AB92" s="656"/>
      <c r="AC92" s="656"/>
      <c r="AD92" s="656"/>
      <c r="AE92" s="656"/>
    </row>
    <row r="93" spans="1:31" s="6504" customFormat="1" ht="18.75" hidden="1" customHeight="1">
      <c r="A93" s="6842"/>
      <c r="C93" s="654"/>
      <c r="D93" s="657"/>
      <c r="E93" s="471" t="str">
        <f>FHD_NUM_P_55</f>
        <v/>
      </c>
      <c r="F93" s="1788" t="str">
        <f>FHD_P_55</f>
        <v/>
      </c>
      <c r="G93" s="1792"/>
      <c r="H93" s="886"/>
      <c r="I93" s="502"/>
      <c r="J93" s="208" t="str">
        <f>FHD_NOTE_P_55</f>
        <v/>
      </c>
      <c r="K93" s="653"/>
      <c r="L93" s="654"/>
      <c r="M93" s="654"/>
      <c r="R93" s="654"/>
      <c r="U93" s="655"/>
      <c r="AA93" s="656"/>
      <c r="AB93" s="656"/>
      <c r="AC93" s="656"/>
      <c r="AD93" s="656"/>
      <c r="AE93" s="656"/>
    </row>
    <row r="94" spans="1:31" s="6504" customFormat="1" ht="18.75" hidden="1" customHeight="1">
      <c r="A94" s="6842"/>
      <c r="C94" s="654"/>
      <c r="D94" s="652"/>
      <c r="E94" s="471" t="str">
        <f>FHD_NUM_P_56</f>
        <v/>
      </c>
      <c r="F94" s="1788" t="str">
        <f>FHD_P_56</f>
        <v/>
      </c>
      <c r="G94" s="1789" t="s">
        <v>700</v>
      </c>
      <c r="H94" s="886"/>
      <c r="I94" s="502"/>
      <c r="J94" s="208" t="str">
        <f>FHD_NOTE_P_56</f>
        <v/>
      </c>
      <c r="K94" s="653"/>
      <c r="L94" s="654"/>
      <c r="M94" s="654"/>
      <c r="R94" s="654"/>
      <c r="U94" s="655"/>
      <c r="AA94" s="656"/>
      <c r="AB94" s="656"/>
      <c r="AC94" s="656"/>
      <c r="AD94" s="656"/>
      <c r="AE94" s="656"/>
    </row>
    <row r="95" spans="1:31" s="6505" customFormat="1" ht="18.75" hidden="1" customHeight="1">
      <c r="A95" s="6842"/>
      <c r="B95" s="823"/>
      <c r="C95" s="654"/>
      <c r="D95" s="652"/>
      <c r="E95" s="471" t="str">
        <f>FHD_NUM_P_57</f>
        <v/>
      </c>
      <c r="F95" s="1788" t="str">
        <f>FHD_P_57</f>
        <v/>
      </c>
      <c r="G95" s="1789" t="s">
        <v>675</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6842" t="s">
        <v>701</v>
      </c>
      <c r="D96" s="1549"/>
      <c r="E96" s="471" t="str">
        <f>FHD_NUM_P_58</f>
        <v/>
      </c>
      <c r="F96" s="1788" t="str">
        <f>FHD_P_58</f>
        <v/>
      </c>
      <c r="G96" s="1789" t="s">
        <v>698</v>
      </c>
      <c r="H96" s="886"/>
      <c r="I96" s="502"/>
      <c r="J96" s="208" t="str">
        <f>FHD_NOTE_P_58</f>
        <v/>
      </c>
      <c r="K96" s="468"/>
    </row>
    <row r="97" spans="1:31" ht="18.75" hidden="1" customHeight="1">
      <c r="A97" s="6842"/>
      <c r="D97" s="1549"/>
      <c r="E97" s="471" t="str">
        <f>FHD_NUM_P_59</f>
        <v/>
      </c>
      <c r="F97" s="1788" t="str">
        <f>FHD_P_59</f>
        <v/>
      </c>
      <c r="G97" s="1789" t="s">
        <v>698</v>
      </c>
      <c r="H97" s="886"/>
      <c r="I97" s="502"/>
      <c r="J97" s="208" t="str">
        <f>FHD_NOTE_P_59</f>
        <v/>
      </c>
      <c r="K97" s="468"/>
    </row>
    <row r="98" spans="1:31" ht="18.75" hidden="1" customHeight="1">
      <c r="A98" s="6842"/>
      <c r="D98" s="1549"/>
      <c r="E98" s="471" t="str">
        <f>FHD_NUM_P_60</f>
        <v/>
      </c>
      <c r="F98" s="1788" t="str">
        <f>FHD_P_60</f>
        <v/>
      </c>
      <c r="G98" s="1789" t="s">
        <v>698</v>
      </c>
      <c r="H98" s="886"/>
      <c r="I98" s="502"/>
      <c r="J98" s="208" t="str">
        <f>FHD_NOTE_P_60</f>
        <v/>
      </c>
      <c r="K98" s="468"/>
    </row>
    <row r="99" spans="1:31" s="1830" customFormat="1" ht="18.75" customHeight="1">
      <c r="A99" s="6842" t="s">
        <v>702</v>
      </c>
      <c r="C99" s="1547"/>
      <c r="D99" s="1549"/>
      <c r="E99" s="471" t="str">
        <f>FHD_NUM_P_61</f>
        <v>7</v>
      </c>
      <c r="F99" s="17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6" t="s">
        <v>673</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7"/>
      <c r="M99" s="1547"/>
      <c r="R99" s="1547"/>
      <c r="U99" s="469"/>
      <c r="AA99" s="1543"/>
      <c r="AB99" s="1543"/>
      <c r="AC99" s="1543"/>
      <c r="AD99" s="1543"/>
      <c r="AE99" s="1543"/>
    </row>
    <row r="100" spans="1:31" s="1832" customFormat="1" ht="0.75" customHeight="1">
      <c r="A100" s="6842"/>
      <c r="D100" s="473"/>
      <c r="E100" s="920" t="str">
        <f>E99&amp;".0"</f>
        <v>7.0</v>
      </c>
      <c r="F100" s="902"/>
      <c r="G100" s="903"/>
      <c r="H100" s="900"/>
      <c r="I100" s="900"/>
      <c r="J100" s="904"/>
    </row>
    <row r="101" spans="1:31" ht="15" customHeight="1">
      <c r="A101" s="6842"/>
      <c r="D101" s="1544"/>
      <c r="E101" s="880"/>
      <c r="F101" s="881" t="s">
        <v>703</v>
      </c>
      <c r="G101" s="497"/>
      <c r="H101" s="498"/>
      <c r="I101" s="498"/>
      <c r="J101" s="911" t="s">
        <v>704</v>
      </c>
      <c r="K101" s="468"/>
    </row>
    <row r="102" spans="1:31" s="1830" customFormat="1" ht="18.75" customHeight="1">
      <c r="A102" s="6842"/>
      <c r="C102" s="1547"/>
      <c r="D102" s="1549"/>
      <c r="E102" s="471" t="str">
        <f>FHD_NUM_P_62</f>
        <v>8</v>
      </c>
      <c r="F102" s="1788" t="str">
        <f>FHD_P_62</f>
        <v>Тепловая нагрузка по договорам, заключенным в рамках осуществления регулируемых видов деятельности</v>
      </c>
      <c r="G102" s="1785" t="s">
        <v>673</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7"/>
      <c r="M102" s="1547"/>
      <c r="R102" s="1547"/>
      <c r="U102" s="469"/>
      <c r="AA102" s="1543"/>
      <c r="AB102" s="1543"/>
      <c r="AC102" s="1543"/>
      <c r="AD102" s="1543"/>
      <c r="AE102" s="1543"/>
    </row>
    <row r="103" spans="1:31" s="1830" customFormat="1" ht="18.75" customHeight="1">
      <c r="A103" s="6842"/>
      <c r="C103" s="1547"/>
      <c r="D103" s="1549"/>
      <c r="E103" s="471" t="str">
        <f>FHD_NUM_P_63</f>
        <v>9</v>
      </c>
      <c r="F103" s="1788" t="str">
        <f>FHD_P_63</f>
        <v>Объем вырабатываемой регулируемой организацией тепловой энергии в рамках осуществления регулируемых видов деятельности</v>
      </c>
      <c r="G103" s="1785" t="s">
        <v>700</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7"/>
      <c r="M103" s="1547"/>
      <c r="R103" s="1547"/>
      <c r="U103" s="469"/>
      <c r="AA103" s="1543"/>
      <c r="AB103" s="1543"/>
      <c r="AC103" s="1543"/>
      <c r="AD103" s="1543"/>
      <c r="AE103" s="1543"/>
    </row>
    <row r="104" spans="1:31" s="1830" customFormat="1" ht="18.75" customHeight="1">
      <c r="A104" s="6842"/>
      <c r="C104" s="1547" t="s">
        <v>705</v>
      </c>
      <c r="D104" s="1549"/>
      <c r="E104" s="471" t="str">
        <f>FHD_NUM_P_64</f>
        <v>9.1</v>
      </c>
      <c r="F104" s="1788" t="str">
        <f>FHD_P_64</f>
        <v>Объем приобретаемой регулируемой организацией тепловой энергии в рамках осуществления регулируемых видов деятельности</v>
      </c>
      <c r="G104" s="1785" t="s">
        <v>700</v>
      </c>
      <c r="H104" s="470"/>
      <c r="I104" s="470"/>
      <c r="J104" s="208" t="str">
        <f>FHD_NOTE_P_64</f>
        <v>Информация указывается только едиными теплоснабжающими организациями.</v>
      </c>
      <c r="K104" s="468"/>
      <c r="L104" s="1547"/>
      <c r="M104" s="1547"/>
      <c r="R104" s="1547"/>
      <c r="U104" s="469"/>
      <c r="AA104" s="1543"/>
      <c r="AB104" s="1543"/>
      <c r="AC104" s="1543"/>
      <c r="AD104" s="1543"/>
      <c r="AE104" s="1543"/>
    </row>
    <row r="105" spans="1:31" s="1830" customFormat="1" ht="18.75" customHeight="1">
      <c r="A105" s="6842"/>
      <c r="C105" s="1547"/>
      <c r="D105" s="1549"/>
      <c r="E105" s="471" t="str">
        <f>FHD_NUM_P_65</f>
        <v>10</v>
      </c>
      <c r="F105" s="17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5" t="s">
        <v>700</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7"/>
      <c r="M105" s="1547"/>
      <c r="R105" s="1547"/>
      <c r="U105" s="469"/>
      <c r="AA105" s="1543"/>
      <c r="AB105" s="1543"/>
      <c r="AC105" s="1543"/>
      <c r="AD105" s="1543"/>
      <c r="AE105" s="1543"/>
    </row>
    <row r="106" spans="1:31" s="1830" customFormat="1" ht="18.75" customHeight="1">
      <c r="A106" s="6842"/>
      <c r="C106" s="1547"/>
      <c r="D106" s="1549"/>
      <c r="E106" s="471" t="str">
        <f>FHD_NUM_P_66</f>
        <v>10.1</v>
      </c>
      <c r="F106" s="1433" t="str">
        <f>FHD_P_66</f>
        <v xml:space="preserve">По приборам учёта </v>
      </c>
      <c r="G106" s="1785" t="s">
        <v>700</v>
      </c>
      <c r="H106" s="502"/>
      <c r="I106" s="502"/>
      <c r="J106" s="208" t="str">
        <f>FHD_NOTE_P_66</f>
        <v/>
      </c>
      <c r="K106" s="468"/>
      <c r="L106" s="1547"/>
      <c r="M106" s="1547"/>
      <c r="R106" s="1547"/>
      <c r="U106" s="469"/>
      <c r="AA106" s="1543"/>
      <c r="AB106" s="1543"/>
      <c r="AC106" s="1543"/>
      <c r="AD106" s="1543"/>
      <c r="AE106" s="1543"/>
    </row>
    <row r="107" spans="1:31" s="1830" customFormat="1" ht="18.75" customHeight="1">
      <c r="A107" s="6842"/>
      <c r="C107" s="1547"/>
      <c r="D107" s="1549"/>
      <c r="E107" s="471" t="str">
        <f>FHD_NUM_P_67</f>
        <v>10.1.1</v>
      </c>
      <c r="F107" s="156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5" t="s">
        <v>700</v>
      </c>
      <c r="H107" s="502"/>
      <c r="I107" s="502"/>
      <c r="J107" s="208" t="str">
        <f>FHD_NOTE_P_67</f>
        <v/>
      </c>
      <c r="K107" s="468"/>
      <c r="L107" s="1547"/>
      <c r="M107" s="1547"/>
      <c r="R107" s="1547"/>
      <c r="U107" s="469"/>
      <c r="AA107" s="1543"/>
      <c r="AB107" s="1543"/>
      <c r="AC107" s="1543"/>
      <c r="AD107" s="1543"/>
      <c r="AE107" s="1543"/>
    </row>
    <row r="108" spans="1:31" s="1830" customFormat="1" ht="18.75" customHeight="1">
      <c r="A108" s="6842"/>
      <c r="C108" s="1547"/>
      <c r="D108" s="1549"/>
      <c r="E108" s="471" t="str">
        <f>FHD_NUM_P_68</f>
        <v>10.2</v>
      </c>
      <c r="F108" s="1433" t="str">
        <f>FHD_P_68</f>
        <v>Расчётным путём</v>
      </c>
      <c r="G108" s="1785" t="s">
        <v>700</v>
      </c>
      <c r="H108" s="502"/>
      <c r="I108" s="502"/>
      <c r="J108" s="208" t="str">
        <f>FHD_NOTE_P_68</f>
        <v/>
      </c>
      <c r="K108" s="468"/>
      <c r="L108" s="1547"/>
      <c r="M108" s="1547"/>
      <c r="R108" s="1547"/>
      <c r="U108" s="469"/>
      <c r="AA108" s="1543"/>
      <c r="AB108" s="1543"/>
      <c r="AC108" s="1543"/>
      <c r="AD108" s="1543"/>
      <c r="AE108" s="1543"/>
    </row>
    <row r="109" spans="1:31" s="1830" customFormat="1" ht="18.75" customHeight="1">
      <c r="A109" s="6842"/>
      <c r="C109" s="1547"/>
      <c r="D109" s="1549"/>
      <c r="E109" s="471" t="str">
        <f>FHD_NUM_P_69</f>
        <v>10.3</v>
      </c>
      <c r="F109" s="1433" t="str">
        <f>FHD_P_69</f>
        <v>По нормативам потребления коммунальных услуг и нормативам потребления коммунальных ресурсов</v>
      </c>
      <c r="G109" s="1785" t="s">
        <v>700</v>
      </c>
      <c r="H109" s="502"/>
      <c r="I109" s="502"/>
      <c r="J109" s="208" t="str">
        <f>FHD_NOTE_P_69</f>
        <v/>
      </c>
      <c r="K109" s="468"/>
      <c r="L109" s="1547"/>
      <c r="M109" s="1547"/>
      <c r="R109" s="1547"/>
      <c r="U109" s="469"/>
      <c r="AA109" s="1543"/>
      <c r="AB109" s="1543"/>
      <c r="AC109" s="1543"/>
      <c r="AD109" s="1543"/>
      <c r="AE109" s="1543"/>
    </row>
    <row r="110" spans="1:31" s="1830" customFormat="1" ht="22.5" customHeight="1">
      <c r="A110" s="6842"/>
      <c r="C110" s="1547"/>
      <c r="D110" s="1549"/>
      <c r="E110" s="471" t="str">
        <f>FHD_NUM_P_70</f>
        <v>11</v>
      </c>
      <c r="F110" s="178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5" t="s">
        <v>706</v>
      </c>
      <c r="H110" s="482"/>
      <c r="I110" s="482"/>
      <c r="J110" s="208" t="str">
        <f>FHD_NOTE_P_70</f>
        <v/>
      </c>
      <c r="K110" s="468"/>
      <c r="L110" s="1547"/>
      <c r="M110" s="1547"/>
      <c r="R110" s="1547"/>
      <c r="U110" s="469"/>
      <c r="AA110" s="1543"/>
      <c r="AB110" s="1543"/>
      <c r="AC110" s="1543"/>
      <c r="AD110" s="1543"/>
      <c r="AE110" s="1543"/>
    </row>
    <row r="111" spans="1:31" s="1830" customFormat="1" ht="22.5" customHeight="1">
      <c r="A111" s="6842"/>
      <c r="C111" s="1547"/>
      <c r="D111" s="1549"/>
      <c r="E111" s="471" t="str">
        <f>FHD_NUM_P_71</f>
        <v>12</v>
      </c>
      <c r="F111" s="1788" t="str">
        <f>FHD_P_71</f>
        <v>Фактический объем потерь при передаче тепловой энергии</v>
      </c>
      <c r="G111" s="1785" t="s">
        <v>706</v>
      </c>
      <c r="H111" s="482"/>
      <c r="I111" s="482"/>
      <c r="J111" s="208" t="str">
        <f>FHD_NOTE_P_71</f>
        <v/>
      </c>
      <c r="K111" s="468"/>
      <c r="L111" s="1547"/>
      <c r="M111" s="1547"/>
      <c r="R111" s="1547"/>
      <c r="U111" s="469"/>
      <c r="AA111" s="1543"/>
      <c r="AB111" s="1543"/>
      <c r="AC111" s="1543"/>
      <c r="AD111" s="1543"/>
      <c r="AE111" s="1543"/>
    </row>
    <row r="112" spans="1:31" ht="18.75" customHeight="1">
      <c r="D112" s="1549"/>
      <c r="E112" s="471" t="str">
        <f>FHD_NUM_P_72</f>
        <v>13</v>
      </c>
      <c r="F112" s="1788" t="str">
        <f>FHD_P_72</f>
        <v>Среднесписочная численность основного производственного персонала</v>
      </c>
      <c r="G112" s="1784" t="s">
        <v>707</v>
      </c>
      <c r="H112" s="502"/>
      <c r="I112" s="502"/>
      <c r="J112" s="208" t="str">
        <f>FHD_NOTE_P_72</f>
        <v/>
      </c>
      <c r="K112" s="468"/>
    </row>
    <row r="113" spans="1:31" ht="18.75" customHeight="1">
      <c r="A113" s="897" t="s">
        <v>708</v>
      </c>
      <c r="D113" s="1549"/>
      <c r="E113" s="471" t="str">
        <f>FHD_NUM_P_73</f>
        <v>14</v>
      </c>
      <c r="F113" s="1788" t="str">
        <f>FHD_P_73</f>
        <v>Среднесписочная численность административно-управленческого персонала</v>
      </c>
      <c r="G113" s="879" t="s">
        <v>707</v>
      </c>
      <c r="H113" s="877"/>
      <c r="I113" s="877"/>
      <c r="J113" s="208" t="str">
        <f>FHD_NOTE_P_73</f>
        <v/>
      </c>
      <c r="K113" s="468"/>
    </row>
    <row r="114" spans="1:31" ht="33.75" hidden="1" customHeight="1">
      <c r="A114" s="897" t="s">
        <v>709</v>
      </c>
      <c r="D114" s="1549"/>
      <c r="E114" s="471" t="str">
        <f>FHD_NUM_P_74</f>
        <v/>
      </c>
      <c r="F114" s="1788" t="str">
        <f>FHD_P_74</f>
        <v/>
      </c>
      <c r="G114" s="1784" t="s">
        <v>710</v>
      </c>
      <c r="H114" s="502"/>
      <c r="I114" s="502"/>
      <c r="J114" s="208" t="str">
        <f>FHD_NOTE_P_74</f>
        <v/>
      </c>
      <c r="K114" s="468"/>
    </row>
    <row r="115" spans="1:31" s="6505" customFormat="1" ht="18.75" hidden="1" customHeight="1">
      <c r="A115" s="6842" t="s">
        <v>711</v>
      </c>
      <c r="B115" s="823"/>
      <c r="C115" s="654"/>
      <c r="D115" s="652"/>
      <c r="E115" s="471" t="str">
        <f>FHD_NUM_P_75</f>
        <v/>
      </c>
      <c r="F115" s="1788" t="str">
        <f>FHD_P_75</f>
        <v/>
      </c>
      <c r="G115" s="1784" t="s">
        <v>675</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6505" customFormat="1" ht="18.75" hidden="1" customHeight="1">
      <c r="A116" s="6842"/>
      <c r="B116" s="823"/>
      <c r="C116" s="654"/>
      <c r="D116" s="652"/>
      <c r="E116" s="471" t="str">
        <f>FHD_NUM_P_76</f>
        <v/>
      </c>
      <c r="F116" s="1788" t="str">
        <f>FHD_P_76</f>
        <v/>
      </c>
      <c r="G116" s="1784" t="s">
        <v>675</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6505" customFormat="1" ht="18.75" hidden="1" customHeight="1">
      <c r="A117" s="6842"/>
      <c r="B117" s="823"/>
      <c r="C117" s="654"/>
      <c r="D117" s="652"/>
      <c r="E117" s="471" t="str">
        <f>FHD_NUM_P_77</f>
        <v/>
      </c>
      <c r="F117" s="1788" t="str">
        <f>FHD_P_77</f>
        <v/>
      </c>
      <c r="G117" s="1784" t="s">
        <v>675</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1832" customFormat="1" ht="0.75" hidden="1" customHeight="1">
      <c r="A118" s="6842"/>
      <c r="D118" s="473"/>
      <c r="E118" s="920" t="str">
        <f>E117&amp;".0"</f>
        <v>.0</v>
      </c>
      <c r="F118" s="905"/>
      <c r="G118" s="1561"/>
      <c r="H118" s="900"/>
      <c r="I118" s="900"/>
      <c r="J118" s="904"/>
    </row>
    <row r="119" spans="1:31" s="6505" customFormat="1" ht="15" hidden="1" customHeight="1">
      <c r="A119" s="6842"/>
      <c r="B119" s="823"/>
      <c r="C119" s="654"/>
      <c r="D119" s="664"/>
      <c r="E119" s="882"/>
      <c r="F119" s="883" t="s">
        <v>712</v>
      </c>
      <c r="G119" s="665"/>
      <c r="H119" s="666"/>
      <c r="I119" s="666"/>
      <c r="J119" s="910" t="s">
        <v>713</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6842" t="s">
        <v>714</v>
      </c>
      <c r="D120" s="1549"/>
      <c r="E120" s="471" t="str">
        <f>FHD_NUM_P_78</f>
        <v>15</v>
      </c>
      <c r="F120" s="17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5" t="s">
        <v>677</v>
      </c>
      <c r="H120" s="502"/>
      <c r="I120" s="502"/>
      <c r="J120" s="208" t="str">
        <f>FHD_NOTE_P_78</f>
        <v/>
      </c>
      <c r="K120" s="468"/>
    </row>
    <row r="121" spans="1:31" s="1832" customFormat="1" ht="0.75" customHeight="1">
      <c r="A121" s="6842"/>
      <c r="D121" s="473"/>
      <c r="E121" s="920" t="str">
        <f>E120&amp;".0"</f>
        <v>15.0</v>
      </c>
      <c r="F121" s="905"/>
      <c r="G121" s="1561"/>
      <c r="H121" s="900"/>
      <c r="I121" s="900"/>
      <c r="J121" s="904"/>
    </row>
    <row r="122" spans="1:31" ht="15" customHeight="1">
      <c r="A122" s="6842"/>
      <c r="D122" s="1544"/>
      <c r="E122" s="495"/>
      <c r="F122" s="1068" t="s">
        <v>703</v>
      </c>
      <c r="G122" s="497"/>
      <c r="H122" s="498"/>
      <c r="I122" s="498"/>
      <c r="J122" s="911" t="s">
        <v>715</v>
      </c>
      <c r="K122" s="468"/>
    </row>
    <row r="123" spans="1:31" ht="22.5" customHeight="1">
      <c r="A123" s="6842"/>
      <c r="D123" s="1549"/>
      <c r="E123" s="471" t="str">
        <f>FHD_NUM_P_79</f>
        <v>16</v>
      </c>
      <c r="F123" s="17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6" t="s">
        <v>679</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1832" customFormat="1" ht="0.75" customHeight="1">
      <c r="A124" s="6842"/>
      <c r="D124" s="473"/>
      <c r="E124" s="920" t="str">
        <f>E123&amp;".0"</f>
        <v>16.0</v>
      </c>
      <c r="F124" s="906"/>
      <c r="G124" s="1561"/>
      <c r="H124" s="900"/>
      <c r="I124" s="900"/>
      <c r="J124" s="904"/>
    </row>
    <row r="125" spans="1:31" ht="15" customHeight="1">
      <c r="A125" s="6842"/>
      <c r="D125" s="1544"/>
      <c r="E125" s="495"/>
      <c r="F125" s="1068" t="s">
        <v>703</v>
      </c>
      <c r="G125" s="497"/>
      <c r="H125" s="498"/>
      <c r="I125" s="498"/>
      <c r="J125" s="911" t="s">
        <v>716</v>
      </c>
      <c r="K125" s="468"/>
    </row>
    <row r="126" spans="1:31" ht="22.5" customHeight="1">
      <c r="A126" s="6842"/>
      <c r="D126" s="1549"/>
      <c r="E126" s="471" t="str">
        <f>FHD_NUM_P_80</f>
        <v>17</v>
      </c>
      <c r="F126" s="17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6" t="s">
        <v>717</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6842"/>
      <c r="D127" s="1549"/>
      <c r="E127" s="471" t="str">
        <f>FHD_NUM_P_81</f>
        <v>18</v>
      </c>
      <c r="F127" s="17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6" t="s">
        <v>718</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6842"/>
      <c r="C128" s="1547" t="s">
        <v>705</v>
      </c>
      <c r="D128" s="1549"/>
      <c r="E128" s="471" t="str">
        <f>FHD_NUM_P_82</f>
        <v>19</v>
      </c>
      <c r="F128" s="17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6" t="s">
        <v>424</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6842"/>
      <c r="C129" s="1547" t="s">
        <v>705</v>
      </c>
      <c r="D129" s="1549"/>
      <c r="E129" s="471" t="str">
        <f>FHD_NUM_P_83</f>
        <v>19.1</v>
      </c>
      <c r="F129" s="1433" t="str">
        <f>FHD_P_83</f>
        <v>Информация о показателях физического износа объектов теплоснабжения</v>
      </c>
      <c r="G129" s="1786" t="s">
        <v>424</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6842"/>
      <c r="C130" s="1547" t="s">
        <v>705</v>
      </c>
      <c r="D130" s="1549"/>
      <c r="E130" s="471" t="str">
        <f>FHD_NUM_P_84</f>
        <v>19.2</v>
      </c>
      <c r="F130" s="1433" t="str">
        <f>FHD_P_84</f>
        <v>Информация о показателях энергетической эффективности объектов теплоснабжения</v>
      </c>
      <c r="G130" s="1786" t="s">
        <v>424</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49"/>
    </row>
    <row r="132" spans="1:31" ht="12.75" customHeight="1">
      <c r="D132" s="1549"/>
      <c r="E132" s="263"/>
      <c r="F132" s="297"/>
      <c r="G132" s="297"/>
      <c r="H132" s="297"/>
      <c r="I132" s="1557"/>
      <c r="J132" s="506"/>
    </row>
    <row r="133" spans="1:31" s="6503" customFormat="1" ht="11.25" customHeight="1">
      <c r="A133" s="895"/>
      <c r="B133" s="1547"/>
      <c r="C133" s="1547"/>
      <c r="D133" s="276"/>
      <c r="F133" s="1551"/>
      <c r="G133" s="1542"/>
      <c r="H133" s="1542"/>
      <c r="I133" s="1542"/>
      <c r="K133" s="1060"/>
      <c r="L133" s="1547"/>
      <c r="M133" s="1547"/>
      <c r="N133" s="1060"/>
      <c r="O133" s="1060"/>
      <c r="P133" s="1060"/>
      <c r="Q133" s="1060"/>
      <c r="R133" s="1547"/>
      <c r="S133" s="1060"/>
      <c r="T133" s="1060"/>
      <c r="U133" s="469"/>
      <c r="V133" s="1060"/>
      <c r="W133" s="1060"/>
      <c r="X133" s="1060"/>
      <c r="Y133" s="1060"/>
      <c r="Z133" s="1060"/>
      <c r="AA133" s="1543"/>
      <c r="AB133" s="491"/>
      <c r="AC133" s="491"/>
      <c r="AD133" s="491"/>
      <c r="AE133" s="491"/>
    </row>
    <row r="134" spans="1:31" s="6503" customFormat="1" ht="11.25" customHeight="1">
      <c r="A134" s="895"/>
      <c r="B134" s="1547"/>
      <c r="C134" s="1547"/>
      <c r="D134" s="276"/>
      <c r="K134" s="1060"/>
      <c r="L134" s="1547"/>
      <c r="M134" s="1547"/>
      <c r="N134" s="1060"/>
      <c r="O134" s="1060"/>
      <c r="P134" s="1060"/>
      <c r="Q134" s="1060"/>
      <c r="R134" s="1547"/>
      <c r="S134" s="1060"/>
      <c r="T134" s="1060"/>
      <c r="U134" s="469"/>
      <c r="V134" s="1060"/>
      <c r="W134" s="1060"/>
      <c r="X134" s="1060"/>
      <c r="Y134" s="1060"/>
      <c r="Z134" s="1060"/>
      <c r="AA134" s="1543"/>
      <c r="AB134" s="491"/>
      <c r="AC134" s="491"/>
      <c r="AD134" s="491"/>
      <c r="AE134" s="491"/>
    </row>
    <row r="135" spans="1:31" s="6503" customFormat="1" ht="11.25" customHeight="1">
      <c r="A135" s="895"/>
      <c r="B135" s="1547"/>
      <c r="C135" s="1547"/>
      <c r="D135" s="276"/>
      <c r="K135" s="1060"/>
      <c r="L135" s="1547"/>
      <c r="M135" s="1547"/>
      <c r="N135" s="1060"/>
      <c r="O135" s="1060"/>
      <c r="P135" s="1060"/>
      <c r="Q135" s="1060"/>
      <c r="R135" s="1547"/>
      <c r="S135" s="1060"/>
      <c r="T135" s="1060"/>
      <c r="U135" s="469"/>
      <c r="V135" s="1060"/>
      <c r="W135" s="1060"/>
      <c r="X135" s="1060"/>
      <c r="Y135" s="1060"/>
      <c r="Z135" s="1060"/>
      <c r="AA135" s="1543"/>
      <c r="AB135" s="491"/>
      <c r="AC135" s="491"/>
      <c r="AD135" s="491"/>
      <c r="AE135" s="491"/>
    </row>
    <row r="136" spans="1:31" s="6503" customFormat="1" ht="11.25" customHeight="1">
      <c r="A136" s="895"/>
      <c r="B136" s="1547"/>
      <c r="C136" s="1547"/>
      <c r="D136" s="276"/>
      <c r="H136" s="491" t="str">
        <f>IF(H30-H31&lt;&gt;H72,"WARNING","")</f>
        <v/>
      </c>
      <c r="I136" s="491" t="str">
        <f>IF(I30-I31&lt;&gt;I72,"WARNING","")</f>
        <v/>
      </c>
      <c r="K136" s="1060"/>
      <c r="L136" s="1547"/>
      <c r="M136" s="1547"/>
      <c r="N136" s="1060"/>
      <c r="O136" s="1060"/>
      <c r="P136" s="1060"/>
      <c r="Q136" s="1060"/>
      <c r="R136" s="1547"/>
      <c r="S136" s="1060"/>
      <c r="T136" s="1060"/>
      <c r="U136" s="469"/>
      <c r="V136" s="1060"/>
      <c r="W136" s="1060"/>
      <c r="X136" s="1060"/>
      <c r="Y136" s="1060"/>
      <c r="Z136" s="1060"/>
      <c r="AA136" s="1543"/>
      <c r="AB136" s="491"/>
      <c r="AC136" s="491"/>
      <c r="AD136" s="491"/>
      <c r="AE136" s="491"/>
    </row>
    <row r="137" spans="1:31" s="6503" customFormat="1" ht="11.25" customHeight="1">
      <c r="A137" s="895"/>
      <c r="B137" s="1547"/>
      <c r="C137" s="1547"/>
      <c r="D137" s="276"/>
      <c r="K137" s="1060"/>
      <c r="L137" s="1547"/>
      <c r="M137" s="1547"/>
      <c r="N137" s="1060"/>
      <c r="O137" s="1060"/>
      <c r="P137" s="1060"/>
      <c r="Q137" s="1060"/>
      <c r="R137" s="1547"/>
      <c r="S137" s="1060"/>
      <c r="T137" s="1060"/>
      <c r="U137" s="469"/>
      <c r="V137" s="1060"/>
      <c r="W137" s="1060"/>
      <c r="X137" s="1060"/>
      <c r="Y137" s="1060"/>
      <c r="Z137" s="1060"/>
      <c r="AA137" s="1543"/>
      <c r="AB137" s="491"/>
      <c r="AC137" s="491"/>
      <c r="AD137" s="491"/>
      <c r="AE137" s="491"/>
    </row>
    <row r="138" spans="1:31" s="6503" customFormat="1" ht="11.25" customHeight="1">
      <c r="A138" s="895"/>
      <c r="B138" s="1547"/>
      <c r="C138" s="1547"/>
      <c r="D138" s="276"/>
      <c r="K138" s="1060"/>
      <c r="L138" s="1547"/>
      <c r="M138" s="1547"/>
      <c r="N138" s="1060"/>
      <c r="O138" s="1060"/>
      <c r="P138" s="1060"/>
      <c r="Q138" s="1060"/>
      <c r="R138" s="1547"/>
      <c r="S138" s="1060"/>
      <c r="T138" s="1060"/>
      <c r="U138" s="469"/>
      <c r="V138" s="1060"/>
      <c r="W138" s="1060"/>
      <c r="X138" s="1060"/>
      <c r="Y138" s="1060"/>
      <c r="Z138" s="1060"/>
      <c r="AA138" s="1543"/>
      <c r="AB138" s="491"/>
      <c r="AC138" s="491"/>
      <c r="AD138" s="491"/>
      <c r="AE138" s="491"/>
    </row>
    <row r="139" spans="1:31" s="6503" customFormat="1" ht="11.25" customHeight="1">
      <c r="A139" s="895"/>
      <c r="B139" s="1547"/>
      <c r="C139" s="1547"/>
      <c r="D139" s="276"/>
      <c r="K139" s="1060"/>
      <c r="L139" s="1547"/>
      <c r="M139" s="1547"/>
      <c r="N139" s="1060"/>
      <c r="O139" s="1060"/>
      <c r="P139" s="1060"/>
      <c r="Q139" s="1060"/>
      <c r="R139" s="1547"/>
      <c r="S139" s="1060"/>
      <c r="T139" s="1060"/>
      <c r="U139" s="469"/>
      <c r="V139" s="1060"/>
      <c r="W139" s="1060"/>
      <c r="X139" s="1060"/>
      <c r="Y139" s="1060"/>
      <c r="Z139" s="1060"/>
      <c r="AA139" s="1543"/>
      <c r="AB139" s="491"/>
      <c r="AC139" s="491"/>
      <c r="AD139" s="491"/>
      <c r="AE139" s="491"/>
    </row>
    <row r="140" spans="1:31" s="6503" customFormat="1" ht="11.25" customHeight="1">
      <c r="A140" s="895"/>
      <c r="B140" s="1547"/>
      <c r="C140" s="1547"/>
      <c r="D140" s="276"/>
      <c r="K140" s="1060"/>
      <c r="L140" s="1547"/>
      <c r="M140" s="1547"/>
      <c r="N140" s="1060"/>
      <c r="O140" s="1060"/>
      <c r="P140" s="1060"/>
      <c r="Q140" s="1060"/>
      <c r="R140" s="1547"/>
      <c r="S140" s="1060"/>
      <c r="T140" s="1060"/>
      <c r="U140" s="469"/>
      <c r="V140" s="1060"/>
      <c r="W140" s="1060"/>
      <c r="X140" s="1060"/>
      <c r="Y140" s="1060"/>
      <c r="Z140" s="1060"/>
      <c r="AA140" s="1543"/>
      <c r="AB140" s="491"/>
      <c r="AC140" s="491"/>
      <c r="AD140" s="491"/>
      <c r="AE140" s="491"/>
    </row>
    <row r="141" spans="1:31" s="6503" customFormat="1" ht="11.25" customHeight="1">
      <c r="A141" s="895"/>
      <c r="B141" s="1547"/>
      <c r="C141" s="1547"/>
      <c r="D141" s="276"/>
      <c r="K141" s="1060"/>
      <c r="L141" s="1547"/>
      <c r="M141" s="1547"/>
      <c r="N141" s="1060"/>
      <c r="O141" s="1060"/>
      <c r="P141" s="1060"/>
      <c r="Q141" s="1060"/>
      <c r="R141" s="1547"/>
      <c r="S141" s="1060"/>
      <c r="T141" s="1060"/>
      <c r="U141" s="469"/>
      <c r="V141" s="1060"/>
      <c r="W141" s="1060"/>
      <c r="X141" s="1060"/>
      <c r="Y141" s="1060"/>
      <c r="Z141" s="1060"/>
      <c r="AA141" s="1543"/>
      <c r="AB141" s="491"/>
      <c r="AC141" s="491"/>
      <c r="AD141" s="491"/>
      <c r="AE141" s="491"/>
    </row>
    <row r="142" spans="1:31" s="6503" customFormat="1" ht="11.25" customHeight="1">
      <c r="A142" s="895"/>
      <c r="B142" s="1547"/>
      <c r="C142" s="1547"/>
      <c r="D142" s="276"/>
      <c r="K142" s="1060"/>
      <c r="L142" s="1547"/>
      <c r="M142" s="1547"/>
      <c r="N142" s="1060"/>
      <c r="O142" s="1060"/>
      <c r="P142" s="1060"/>
      <c r="Q142" s="1060"/>
      <c r="R142" s="1547"/>
      <c r="S142" s="1060"/>
      <c r="T142" s="1060"/>
      <c r="U142" s="469"/>
      <c r="V142" s="1060"/>
      <c r="W142" s="1060"/>
      <c r="X142" s="1060"/>
      <c r="Y142" s="1060"/>
      <c r="Z142" s="1060"/>
      <c r="AA142" s="1543"/>
      <c r="AB142" s="491"/>
      <c r="AC142" s="491"/>
      <c r="AD142" s="491"/>
      <c r="AE142" s="491"/>
    </row>
    <row r="143" spans="1:31" s="6503" customFormat="1" ht="11.25" customHeight="1">
      <c r="A143" s="895"/>
      <c r="B143" s="1547"/>
      <c r="C143" s="1547"/>
      <c r="D143" s="276"/>
      <c r="K143" s="1060"/>
      <c r="L143" s="1547"/>
      <c r="M143" s="1547"/>
      <c r="N143" s="1060"/>
      <c r="O143" s="1060"/>
      <c r="P143" s="1060"/>
      <c r="Q143" s="1060"/>
      <c r="R143" s="1547"/>
      <c r="S143" s="1060"/>
      <c r="T143" s="1060"/>
      <c r="U143" s="469"/>
      <c r="V143" s="1060"/>
      <c r="W143" s="1060"/>
      <c r="X143" s="1060"/>
      <c r="Y143" s="1060"/>
      <c r="Z143" s="1060"/>
      <c r="AA143" s="1543"/>
      <c r="AB143" s="491"/>
      <c r="AC143" s="491"/>
      <c r="AD143" s="491"/>
      <c r="AE143" s="491"/>
    </row>
    <row r="144" spans="1:31" s="6503" customFormat="1" ht="11.25" customHeight="1">
      <c r="A144" s="895"/>
      <c r="B144" s="1547"/>
      <c r="C144" s="1547"/>
      <c r="D144" s="276"/>
      <c r="K144" s="1060"/>
      <c r="L144" s="1547"/>
      <c r="M144" s="1547"/>
      <c r="N144" s="1060"/>
      <c r="O144" s="1060"/>
      <c r="P144" s="1060"/>
      <c r="Q144" s="1060"/>
      <c r="R144" s="1547"/>
      <c r="S144" s="1060"/>
      <c r="T144" s="1060"/>
      <c r="U144" s="469"/>
      <c r="V144" s="1060"/>
      <c r="W144" s="1060"/>
      <c r="X144" s="1060"/>
      <c r="Y144" s="1060"/>
      <c r="Z144" s="1060"/>
      <c r="AA144" s="1543"/>
      <c r="AB144" s="491"/>
      <c r="AC144" s="491"/>
      <c r="AD144" s="491"/>
      <c r="AE144" s="491"/>
    </row>
    <row r="145" spans="1:31" s="6503" customFormat="1" ht="11.25" customHeight="1">
      <c r="A145" s="895"/>
      <c r="B145" s="1547"/>
      <c r="C145" s="1547"/>
      <c r="D145" s="276"/>
      <c r="K145" s="1060"/>
      <c r="L145" s="1547"/>
      <c r="M145" s="1547"/>
      <c r="N145" s="1060"/>
      <c r="O145" s="1060"/>
      <c r="P145" s="1060"/>
      <c r="Q145" s="1060"/>
      <c r="R145" s="1547"/>
      <c r="S145" s="1060"/>
      <c r="T145" s="1060"/>
      <c r="U145" s="469"/>
      <c r="V145" s="1060"/>
      <c r="W145" s="1060"/>
      <c r="X145" s="1060"/>
      <c r="Y145" s="1060"/>
      <c r="Z145" s="1060"/>
      <c r="AA145" s="1543"/>
      <c r="AB145" s="491"/>
      <c r="AC145" s="491"/>
      <c r="AD145" s="491"/>
      <c r="AE145" s="491"/>
    </row>
    <row r="146" spans="1:31" s="6503" customFormat="1" ht="11.25" customHeight="1">
      <c r="A146" s="895"/>
      <c r="B146" s="1547"/>
      <c r="C146" s="1547"/>
      <c r="D146" s="276"/>
      <c r="K146" s="1060"/>
      <c r="L146" s="1547"/>
      <c r="M146" s="1547"/>
      <c r="N146" s="1060"/>
      <c r="O146" s="1060"/>
      <c r="P146" s="1060"/>
      <c r="Q146" s="1060"/>
      <c r="R146" s="1547"/>
      <c r="S146" s="1060"/>
      <c r="T146" s="1060"/>
      <c r="U146" s="469"/>
      <c r="V146" s="1060"/>
      <c r="W146" s="1060"/>
      <c r="X146" s="1060"/>
      <c r="Y146" s="1060"/>
      <c r="Z146" s="1060"/>
      <c r="AA146" s="1543"/>
      <c r="AB146" s="491"/>
      <c r="AC146" s="491"/>
      <c r="AD146" s="491"/>
      <c r="AE146" s="491"/>
    </row>
    <row r="147" spans="1:31" s="6503" customFormat="1" ht="11.25" customHeight="1">
      <c r="A147" s="895"/>
      <c r="B147" s="1547"/>
      <c r="C147" s="1547"/>
      <c r="D147" s="276"/>
      <c r="K147" s="1060"/>
      <c r="L147" s="1547"/>
      <c r="M147" s="1547"/>
      <c r="N147" s="1060"/>
      <c r="O147" s="1060"/>
      <c r="P147" s="1060"/>
      <c r="Q147" s="1060"/>
      <c r="R147" s="1547"/>
      <c r="S147" s="1060"/>
      <c r="T147" s="1060"/>
      <c r="U147" s="469"/>
      <c r="V147" s="1060"/>
      <c r="W147" s="1060"/>
      <c r="X147" s="1060"/>
      <c r="Y147" s="1060"/>
      <c r="Z147" s="1060"/>
      <c r="AA147" s="1543"/>
      <c r="AB147" s="491"/>
      <c r="AC147" s="491"/>
      <c r="AD147" s="491"/>
      <c r="AE147" s="491"/>
    </row>
    <row r="148" spans="1:31" s="6503" customFormat="1" ht="11.25" customHeight="1">
      <c r="A148" s="895"/>
      <c r="B148" s="1547"/>
      <c r="C148" s="1547"/>
      <c r="D148" s="276"/>
      <c r="K148" s="1060"/>
      <c r="L148" s="1547"/>
      <c r="M148" s="1547"/>
      <c r="N148" s="1060"/>
      <c r="O148" s="1060"/>
      <c r="P148" s="1060"/>
      <c r="Q148" s="1060"/>
      <c r="R148" s="1547"/>
      <c r="S148" s="1060"/>
      <c r="T148" s="1060"/>
      <c r="U148" s="469"/>
      <c r="V148" s="1060"/>
      <c r="W148" s="1060"/>
      <c r="X148" s="1060"/>
      <c r="Y148" s="1060"/>
      <c r="Z148" s="1060"/>
      <c r="AA148" s="1543"/>
      <c r="AB148" s="491"/>
      <c r="AC148" s="491"/>
      <c r="AD148" s="491"/>
      <c r="AE148" s="491"/>
    </row>
    <row r="149" spans="1:31" s="6503" customFormat="1" ht="11.25" customHeight="1">
      <c r="A149" s="895"/>
      <c r="B149" s="1547"/>
      <c r="C149" s="1547"/>
      <c r="D149" s="276"/>
      <c r="K149" s="1060"/>
      <c r="L149" s="1547"/>
      <c r="M149" s="1547"/>
      <c r="N149" s="1060"/>
      <c r="O149" s="1060"/>
      <c r="P149" s="1060"/>
      <c r="Q149" s="1060"/>
      <c r="R149" s="1547"/>
      <c r="S149" s="1060"/>
      <c r="T149" s="1060"/>
      <c r="U149" s="469"/>
      <c r="V149" s="1060"/>
      <c r="W149" s="1060"/>
      <c r="X149" s="1060"/>
      <c r="Y149" s="1060"/>
      <c r="Z149" s="1060"/>
      <c r="AA149" s="1543"/>
      <c r="AB149" s="491"/>
      <c r="AC149" s="491"/>
      <c r="AD149" s="491"/>
      <c r="AE149" s="491"/>
    </row>
    <row r="150" spans="1:31" s="6503" customFormat="1" ht="11.25" customHeight="1">
      <c r="A150" s="895"/>
      <c r="B150" s="1547"/>
      <c r="C150" s="1547"/>
      <c r="D150" s="276"/>
      <c r="K150" s="1060"/>
      <c r="L150" s="1547"/>
      <c r="M150" s="1547"/>
      <c r="N150" s="1060"/>
      <c r="O150" s="1060"/>
      <c r="P150" s="1060"/>
      <c r="Q150" s="1060"/>
      <c r="R150" s="1547"/>
      <c r="S150" s="1060"/>
      <c r="T150" s="1060"/>
      <c r="U150" s="469"/>
      <c r="V150" s="1060"/>
      <c r="W150" s="1060"/>
      <c r="X150" s="1060"/>
      <c r="Y150" s="1060"/>
      <c r="Z150" s="1060"/>
      <c r="AA150" s="1543"/>
      <c r="AB150" s="491"/>
      <c r="AC150" s="491"/>
      <c r="AD150" s="491"/>
      <c r="AE150" s="491"/>
    </row>
    <row r="151" spans="1:31" s="6503" customFormat="1" ht="11.25" customHeight="1">
      <c r="A151" s="895"/>
      <c r="B151" s="1547"/>
      <c r="C151" s="1547"/>
      <c r="D151" s="276"/>
      <c r="K151" s="1060"/>
      <c r="L151" s="1547"/>
      <c r="M151" s="1547"/>
      <c r="N151" s="1060"/>
      <c r="O151" s="1060"/>
      <c r="P151" s="1060"/>
      <c r="Q151" s="1060"/>
      <c r="R151" s="1547"/>
      <c r="S151" s="1060"/>
      <c r="T151" s="1060"/>
      <c r="U151" s="469"/>
      <c r="V151" s="1060"/>
      <c r="W151" s="1060"/>
      <c r="X151" s="1060"/>
      <c r="Y151" s="1060"/>
      <c r="Z151" s="1060"/>
      <c r="AA151" s="1543"/>
      <c r="AB151" s="491"/>
      <c r="AC151" s="491"/>
      <c r="AD151" s="491"/>
      <c r="AE151" s="491"/>
    </row>
    <row r="152" spans="1:31" s="6503" customFormat="1" ht="11.25" customHeight="1">
      <c r="A152" s="895"/>
      <c r="B152" s="1547"/>
      <c r="C152" s="1547"/>
      <c r="D152" s="276"/>
      <c r="K152" s="1060"/>
      <c r="L152" s="1547"/>
      <c r="M152" s="1547"/>
      <c r="N152" s="1060"/>
      <c r="O152" s="1060"/>
      <c r="P152" s="1060"/>
      <c r="Q152" s="1060"/>
      <c r="R152" s="1547"/>
      <c r="S152" s="1060"/>
      <c r="T152" s="1060"/>
      <c r="U152" s="469"/>
      <c r="V152" s="1060"/>
      <c r="W152" s="1060"/>
      <c r="X152" s="1060"/>
      <c r="Y152" s="1060"/>
      <c r="Z152" s="1060"/>
      <c r="AA152" s="1543"/>
      <c r="AB152" s="491"/>
      <c r="AC152" s="491"/>
      <c r="AD152" s="491"/>
      <c r="AE152" s="491"/>
    </row>
    <row r="153" spans="1:31" s="6503" customFormat="1" ht="11.25" customHeight="1">
      <c r="A153" s="895"/>
      <c r="B153" s="1547"/>
      <c r="C153" s="1547"/>
      <c r="D153" s="276"/>
      <c r="K153" s="1060"/>
      <c r="L153" s="1547"/>
      <c r="M153" s="1547"/>
      <c r="N153" s="1060"/>
      <c r="O153" s="1060"/>
      <c r="P153" s="1060"/>
      <c r="Q153" s="1060"/>
      <c r="R153" s="1547"/>
      <c r="S153" s="1060"/>
      <c r="T153" s="1060"/>
      <c r="U153" s="469"/>
      <c r="V153" s="1060"/>
      <c r="W153" s="1060"/>
      <c r="X153" s="1060"/>
      <c r="Y153" s="1060"/>
      <c r="Z153" s="1060"/>
      <c r="AA153" s="1543"/>
      <c r="AB153" s="491"/>
      <c r="AC153" s="491"/>
      <c r="AD153" s="491"/>
      <c r="AE153" s="491"/>
    </row>
    <row r="154" spans="1:31" s="6503" customFormat="1" ht="11.25" customHeight="1">
      <c r="A154" s="895"/>
      <c r="B154" s="1547"/>
      <c r="C154" s="1547"/>
      <c r="D154" s="276"/>
      <c r="K154" s="1060"/>
      <c r="L154" s="1547"/>
      <c r="M154" s="1547"/>
      <c r="N154" s="1060"/>
      <c r="O154" s="1060"/>
      <c r="P154" s="1060"/>
      <c r="Q154" s="1060"/>
      <c r="R154" s="1547"/>
      <c r="S154" s="1060"/>
      <c r="T154" s="1060"/>
      <c r="U154" s="469"/>
      <c r="V154" s="1060"/>
      <c r="W154" s="1060"/>
      <c r="X154" s="1060"/>
      <c r="Y154" s="1060"/>
      <c r="Z154" s="1060"/>
      <c r="AA154" s="1543"/>
      <c r="AB154" s="491"/>
      <c r="AC154" s="491"/>
      <c r="AD154" s="491"/>
      <c r="AE154" s="491"/>
    </row>
    <row r="155" spans="1:31" s="6503" customFormat="1" ht="11.25" customHeight="1">
      <c r="A155" s="895"/>
      <c r="B155" s="1547"/>
      <c r="C155" s="1547"/>
      <c r="D155" s="276"/>
      <c r="K155" s="1060"/>
      <c r="L155" s="1547"/>
      <c r="M155" s="1547"/>
      <c r="N155" s="1060"/>
      <c r="O155" s="1060"/>
      <c r="P155" s="1060"/>
      <c r="Q155" s="1060"/>
      <c r="R155" s="1547"/>
      <c r="S155" s="1060"/>
      <c r="T155" s="1060"/>
      <c r="U155" s="469"/>
      <c r="V155" s="1060"/>
      <c r="W155" s="1060"/>
      <c r="X155" s="1060"/>
      <c r="Y155" s="1060"/>
      <c r="Z155" s="1060"/>
      <c r="AA155" s="1543"/>
      <c r="AB155" s="491"/>
      <c r="AC155" s="491"/>
      <c r="AD155" s="491"/>
      <c r="AE155" s="491"/>
    </row>
    <row r="156" spans="1:31" s="6503" customFormat="1" ht="11.25" customHeight="1">
      <c r="A156" s="895"/>
      <c r="B156" s="1547"/>
      <c r="C156" s="1547"/>
      <c r="D156" s="276"/>
      <c r="K156" s="1060"/>
      <c r="L156" s="1547"/>
      <c r="M156" s="1547"/>
      <c r="N156" s="1060"/>
      <c r="O156" s="1060"/>
      <c r="P156" s="1060"/>
      <c r="Q156" s="1060"/>
      <c r="R156" s="1547"/>
      <c r="S156" s="1060"/>
      <c r="T156" s="1060"/>
      <c r="U156" s="469"/>
      <c r="V156" s="1060"/>
      <c r="W156" s="1060"/>
      <c r="X156" s="1060"/>
      <c r="Y156" s="1060"/>
      <c r="Z156" s="1060"/>
      <c r="AA156" s="1543"/>
      <c r="AB156" s="491"/>
      <c r="AC156" s="491"/>
      <c r="AD156" s="491"/>
      <c r="AE156" s="491"/>
    </row>
    <row r="157" spans="1:31" s="6503" customFormat="1" ht="11.25" customHeight="1">
      <c r="A157" s="895"/>
      <c r="B157" s="1547"/>
      <c r="C157" s="1547"/>
      <c r="D157" s="276"/>
      <c r="K157" s="1060"/>
      <c r="L157" s="1547"/>
      <c r="M157" s="1547"/>
      <c r="N157" s="1060"/>
      <c r="O157" s="1060"/>
      <c r="P157" s="1060"/>
      <c r="Q157" s="1060"/>
      <c r="R157" s="1547"/>
      <c r="S157" s="1060"/>
      <c r="T157" s="1060"/>
      <c r="U157" s="469"/>
      <c r="V157" s="1060"/>
      <c r="W157" s="1060"/>
      <c r="X157" s="1060"/>
      <c r="Y157" s="1060"/>
      <c r="Z157" s="1060"/>
      <c r="AA157" s="1543"/>
      <c r="AB157" s="491"/>
      <c r="AC157" s="491"/>
      <c r="AD157" s="491"/>
      <c r="AE157" s="491"/>
    </row>
    <row r="158" spans="1:31" s="6503" customFormat="1" ht="11.25" customHeight="1">
      <c r="A158" s="895"/>
      <c r="B158" s="1547"/>
      <c r="C158" s="1547"/>
      <c r="D158" s="276"/>
      <c r="K158" s="1060"/>
      <c r="L158" s="1547"/>
      <c r="M158" s="1547"/>
      <c r="N158" s="1060"/>
      <c r="O158" s="1060"/>
      <c r="P158" s="1060"/>
      <c r="Q158" s="1060"/>
      <c r="R158" s="1547"/>
      <c r="S158" s="1060"/>
      <c r="T158" s="1060"/>
      <c r="U158" s="469"/>
      <c r="V158" s="1060"/>
      <c r="W158" s="1060"/>
      <c r="X158" s="1060"/>
      <c r="Y158" s="1060"/>
      <c r="Z158" s="1060"/>
      <c r="AA158" s="1543"/>
      <c r="AB158" s="491"/>
      <c r="AC158" s="491"/>
      <c r="AD158" s="491"/>
      <c r="AE158" s="491"/>
    </row>
    <row r="159" spans="1:31" s="6503" customFormat="1" ht="11.25" customHeight="1">
      <c r="A159" s="895"/>
      <c r="B159" s="1547"/>
      <c r="C159" s="1547"/>
      <c r="D159" s="276"/>
      <c r="K159" s="1060"/>
      <c r="L159" s="1547"/>
      <c r="M159" s="1547"/>
      <c r="N159" s="1060"/>
      <c r="O159" s="1060"/>
      <c r="P159" s="1060"/>
      <c r="Q159" s="1060"/>
      <c r="R159" s="1547"/>
      <c r="S159" s="1060"/>
      <c r="T159" s="1060"/>
      <c r="U159" s="469"/>
      <c r="V159" s="1060"/>
      <c r="W159" s="1060"/>
      <c r="X159" s="1060"/>
      <c r="Y159" s="1060"/>
      <c r="Z159" s="1060"/>
      <c r="AA159" s="1543"/>
      <c r="AB159" s="491"/>
      <c r="AC159" s="491"/>
      <c r="AD159" s="491"/>
      <c r="AE159" s="491"/>
    </row>
    <row r="160" spans="1:31" s="6503" customFormat="1" ht="11.25" customHeight="1">
      <c r="A160" s="895"/>
      <c r="B160" s="1547"/>
      <c r="C160" s="1547"/>
      <c r="D160" s="276"/>
      <c r="K160" s="1060"/>
      <c r="L160" s="1547"/>
      <c r="M160" s="1547"/>
      <c r="N160" s="1060"/>
      <c r="O160" s="1060"/>
      <c r="P160" s="1060"/>
      <c r="Q160" s="1060"/>
      <c r="R160" s="1547"/>
      <c r="S160" s="1060"/>
      <c r="T160" s="1060"/>
      <c r="U160" s="469"/>
      <c r="V160" s="1060"/>
      <c r="W160" s="1060"/>
      <c r="X160" s="1060"/>
      <c r="Y160" s="1060"/>
      <c r="Z160" s="1060"/>
      <c r="AA160" s="1543"/>
      <c r="AB160" s="491"/>
      <c r="AC160" s="491"/>
      <c r="AD160" s="491"/>
      <c r="AE160" s="491"/>
    </row>
    <row r="161" spans="1:31" s="6503" customFormat="1" ht="11.25" customHeight="1">
      <c r="A161" s="895"/>
      <c r="B161" s="1547"/>
      <c r="C161" s="1547"/>
      <c r="D161" s="276"/>
      <c r="K161" s="1060"/>
      <c r="L161" s="1547"/>
      <c r="M161" s="1547"/>
      <c r="N161" s="1060"/>
      <c r="O161" s="1060"/>
      <c r="P161" s="1060"/>
      <c r="Q161" s="1060"/>
      <c r="R161" s="1547"/>
      <c r="S161" s="1060"/>
      <c r="T161" s="1060"/>
      <c r="U161" s="469"/>
      <c r="V161" s="1060"/>
      <c r="W161" s="1060"/>
      <c r="X161" s="1060"/>
      <c r="Y161" s="1060"/>
      <c r="Z161" s="1060"/>
      <c r="AA161" s="1543"/>
      <c r="AB161" s="491"/>
      <c r="AC161" s="491"/>
      <c r="AD161" s="491"/>
      <c r="AE161" s="491"/>
    </row>
    <row r="162" spans="1:31" s="6503" customFormat="1" ht="11.25" customHeight="1">
      <c r="A162" s="895"/>
      <c r="B162" s="1547"/>
      <c r="C162" s="1547"/>
      <c r="D162" s="276"/>
      <c r="K162" s="1060"/>
      <c r="L162" s="1547"/>
      <c r="M162" s="1547"/>
      <c r="N162" s="1060"/>
      <c r="O162" s="1060"/>
      <c r="P162" s="1060"/>
      <c r="Q162" s="1060"/>
      <c r="R162" s="1547"/>
      <c r="S162" s="1060"/>
      <c r="T162" s="1060"/>
      <c r="U162" s="469"/>
      <c r="V162" s="1060"/>
      <c r="W162" s="1060"/>
      <c r="X162" s="1060"/>
      <c r="Y162" s="1060"/>
      <c r="Z162" s="1060"/>
      <c r="AA162" s="1543"/>
      <c r="AB162" s="491"/>
      <c r="AC162" s="491"/>
      <c r="AD162" s="491"/>
      <c r="AE162" s="491"/>
    </row>
    <row r="163" spans="1:31" s="6503" customFormat="1" ht="11.25" customHeight="1">
      <c r="A163" s="895"/>
      <c r="B163" s="1547"/>
      <c r="C163" s="1547"/>
      <c r="D163" s="276"/>
      <c r="K163" s="1060"/>
      <c r="L163" s="1547"/>
      <c r="M163" s="1547"/>
      <c r="N163" s="1060"/>
      <c r="O163" s="1060"/>
      <c r="P163" s="1060"/>
      <c r="Q163" s="1060"/>
      <c r="R163" s="1547"/>
      <c r="S163" s="1060"/>
      <c r="T163" s="1060"/>
      <c r="U163" s="469"/>
      <c r="V163" s="1060"/>
      <c r="W163" s="1060"/>
      <c r="X163" s="1060"/>
      <c r="Y163" s="1060"/>
      <c r="Z163" s="1060"/>
      <c r="AA163" s="1543"/>
      <c r="AB163" s="491"/>
      <c r="AC163" s="491"/>
      <c r="AD163" s="491"/>
      <c r="AE163" s="491"/>
    </row>
    <row r="164" spans="1:31" s="6503" customFormat="1" ht="11.25" customHeight="1">
      <c r="A164" s="895"/>
      <c r="B164" s="1547"/>
      <c r="C164" s="1547"/>
      <c r="D164" s="276"/>
      <c r="K164" s="1060"/>
      <c r="L164" s="1547"/>
      <c r="M164" s="1547"/>
      <c r="N164" s="1060"/>
      <c r="O164" s="1060"/>
      <c r="P164" s="1060"/>
      <c r="Q164" s="1060"/>
      <c r="R164" s="1547"/>
      <c r="S164" s="1060"/>
      <c r="T164" s="1060"/>
      <c r="U164" s="469"/>
      <c r="V164" s="1060"/>
      <c r="W164" s="1060"/>
      <c r="X164" s="1060"/>
      <c r="Y164" s="1060"/>
      <c r="Z164" s="1060"/>
      <c r="AA164" s="1543"/>
      <c r="AB164" s="491"/>
      <c r="AC164" s="491"/>
      <c r="AD164" s="491"/>
      <c r="AE164" s="491"/>
    </row>
    <row r="165" spans="1:31" s="6503" customFormat="1" ht="11.25" customHeight="1">
      <c r="A165" s="895"/>
      <c r="B165" s="1547"/>
      <c r="C165" s="1547"/>
      <c r="D165" s="276"/>
      <c r="K165" s="1060"/>
      <c r="L165" s="1547"/>
      <c r="M165" s="1547"/>
      <c r="N165" s="1060"/>
      <c r="O165" s="1060"/>
      <c r="P165" s="1060"/>
      <c r="Q165" s="1060"/>
      <c r="R165" s="1547"/>
      <c r="S165" s="1060"/>
      <c r="T165" s="1060"/>
      <c r="U165" s="469"/>
      <c r="V165" s="1060"/>
      <c r="W165" s="1060"/>
      <c r="X165" s="1060"/>
      <c r="Y165" s="1060"/>
      <c r="Z165" s="1060"/>
      <c r="AA165" s="1543"/>
      <c r="AB165" s="491"/>
      <c r="AC165" s="491"/>
      <c r="AD165" s="491"/>
      <c r="AE165" s="491"/>
    </row>
    <row r="166" spans="1:31" s="6503" customFormat="1" ht="11.25" customHeight="1">
      <c r="A166" s="895"/>
      <c r="B166" s="1547"/>
      <c r="C166" s="1547"/>
      <c r="D166" s="276"/>
      <c r="K166" s="1060"/>
      <c r="L166" s="1547"/>
      <c r="M166" s="1547"/>
      <c r="N166" s="1060"/>
      <c r="O166" s="1060"/>
      <c r="P166" s="1060"/>
      <c r="Q166" s="1060"/>
      <c r="R166" s="1547"/>
      <c r="S166" s="1060"/>
      <c r="T166" s="1060"/>
      <c r="U166" s="469"/>
      <c r="V166" s="1060"/>
      <c r="W166" s="1060"/>
      <c r="X166" s="1060"/>
      <c r="Y166" s="1060"/>
      <c r="Z166" s="1060"/>
      <c r="AA166" s="1543"/>
      <c r="AB166" s="491"/>
      <c r="AC166" s="491"/>
      <c r="AD166" s="491"/>
      <c r="AE166" s="491"/>
    </row>
    <row r="167" spans="1:31" s="6503" customFormat="1" ht="11.25" customHeight="1">
      <c r="A167" s="895"/>
      <c r="B167" s="1547"/>
      <c r="C167" s="1547"/>
      <c r="D167" s="276"/>
      <c r="K167" s="1060"/>
      <c r="L167" s="1547"/>
      <c r="M167" s="1547"/>
      <c r="N167" s="1060"/>
      <c r="O167" s="1060"/>
      <c r="P167" s="1060"/>
      <c r="Q167" s="1060"/>
      <c r="R167" s="1547"/>
      <c r="S167" s="1060"/>
      <c r="T167" s="1060"/>
      <c r="U167" s="469"/>
      <c r="V167" s="1060"/>
      <c r="W167" s="1060"/>
      <c r="X167" s="1060"/>
      <c r="Y167" s="1060"/>
      <c r="Z167" s="1060"/>
      <c r="AA167" s="1543"/>
      <c r="AB167" s="491"/>
      <c r="AC167" s="491"/>
      <c r="AD167" s="491"/>
      <c r="AE167" s="491"/>
    </row>
    <row r="168" spans="1:31" s="6503" customFormat="1" ht="11.25" customHeight="1">
      <c r="A168" s="895"/>
      <c r="B168" s="1547"/>
      <c r="C168" s="1547"/>
      <c r="D168" s="276"/>
      <c r="K168" s="1060"/>
      <c r="L168" s="1547"/>
      <c r="M168" s="1547"/>
      <c r="N168" s="1060"/>
      <c r="O168" s="1060"/>
      <c r="P168" s="1060"/>
      <c r="Q168" s="1060"/>
      <c r="R168" s="1547"/>
      <c r="S168" s="1060"/>
      <c r="T168" s="1060"/>
      <c r="U168" s="469"/>
      <c r="V168" s="1060"/>
      <c r="W168" s="1060"/>
      <c r="X168" s="1060"/>
      <c r="Y168" s="1060"/>
      <c r="Z168" s="1060"/>
      <c r="AA168" s="1543"/>
      <c r="AB168" s="491"/>
      <c r="AC168" s="491"/>
      <c r="AD168" s="491"/>
      <c r="AE168" s="491"/>
    </row>
    <row r="169" spans="1:31" s="6503" customFormat="1" ht="11.25" customHeight="1">
      <c r="A169" s="895"/>
      <c r="B169" s="1547"/>
      <c r="C169" s="1547"/>
      <c r="D169" s="276"/>
      <c r="K169" s="1060"/>
      <c r="L169" s="1547"/>
      <c r="M169" s="1547"/>
      <c r="N169" s="1060"/>
      <c r="O169" s="1060"/>
      <c r="P169" s="1060"/>
      <c r="Q169" s="1060"/>
      <c r="R169" s="1547"/>
      <c r="S169" s="1060"/>
      <c r="T169" s="1060"/>
      <c r="U169" s="469"/>
      <c r="V169" s="1060"/>
      <c r="W169" s="1060"/>
      <c r="X169" s="1060"/>
      <c r="Y169" s="1060"/>
      <c r="Z169" s="1060"/>
      <c r="AA169" s="1543"/>
      <c r="AB169" s="491"/>
      <c r="AC169" s="491"/>
      <c r="AD169" s="491"/>
      <c r="AE169" s="491"/>
    </row>
    <row r="170" spans="1:31" s="6503" customFormat="1" ht="11.25" customHeight="1">
      <c r="A170" s="895"/>
      <c r="B170" s="1547"/>
      <c r="C170" s="1547"/>
      <c r="D170" s="276"/>
      <c r="K170" s="1060"/>
      <c r="L170" s="1547"/>
      <c r="M170" s="1547"/>
      <c r="N170" s="1060"/>
      <c r="O170" s="1060"/>
      <c r="P170" s="1060"/>
      <c r="Q170" s="1060"/>
      <c r="R170" s="1547"/>
      <c r="S170" s="1060"/>
      <c r="T170" s="1060"/>
      <c r="U170" s="469"/>
      <c r="V170" s="1060"/>
      <c r="W170" s="1060"/>
      <c r="X170" s="1060"/>
      <c r="Y170" s="1060"/>
      <c r="Z170" s="1060"/>
      <c r="AA170" s="1543"/>
      <c r="AB170" s="491"/>
      <c r="AC170" s="491"/>
      <c r="AD170" s="491"/>
      <c r="AE170" s="491"/>
    </row>
    <row r="171" spans="1:31" s="6503" customFormat="1" ht="11.25" customHeight="1">
      <c r="A171" s="895"/>
      <c r="B171" s="1547"/>
      <c r="C171" s="1547"/>
      <c r="D171" s="276"/>
      <c r="K171" s="1060"/>
      <c r="L171" s="1547"/>
      <c r="M171" s="1547"/>
      <c r="N171" s="1060"/>
      <c r="O171" s="1060"/>
      <c r="P171" s="1060"/>
      <c r="Q171" s="1060"/>
      <c r="R171" s="1547"/>
      <c r="S171" s="1060"/>
      <c r="T171" s="1060"/>
      <c r="U171" s="469"/>
      <c r="V171" s="1060"/>
      <c r="W171" s="1060"/>
      <c r="X171" s="1060"/>
      <c r="Y171" s="1060"/>
      <c r="Z171" s="1060"/>
      <c r="AA171" s="1543"/>
      <c r="AB171" s="491"/>
      <c r="AC171" s="491"/>
      <c r="AD171" s="491"/>
      <c r="AE171" s="491"/>
    </row>
    <row r="172" spans="1:31" s="6503" customFormat="1" ht="11.25" customHeight="1">
      <c r="A172" s="895"/>
      <c r="B172" s="1547"/>
      <c r="C172" s="1547"/>
      <c r="D172" s="276"/>
      <c r="K172" s="1060"/>
      <c r="L172" s="1547"/>
      <c r="M172" s="1547"/>
      <c r="N172" s="1060"/>
      <c r="O172" s="1060"/>
      <c r="P172" s="1060"/>
      <c r="Q172" s="1060"/>
      <c r="R172" s="1547"/>
      <c r="S172" s="1060"/>
      <c r="T172" s="1060"/>
      <c r="U172" s="469"/>
      <c r="V172" s="1060"/>
      <c r="W172" s="1060"/>
      <c r="X172" s="1060"/>
      <c r="Y172" s="1060"/>
      <c r="Z172" s="1060"/>
      <c r="AA172" s="1543"/>
      <c r="AB172" s="491"/>
      <c r="AC172" s="491"/>
      <c r="AD172" s="491"/>
      <c r="AE172" s="491"/>
    </row>
    <row r="173" spans="1:31" s="6503" customFormat="1" ht="11.25" customHeight="1">
      <c r="A173" s="895"/>
      <c r="B173" s="1547"/>
      <c r="C173" s="1547"/>
      <c r="D173" s="276"/>
      <c r="K173" s="1060"/>
      <c r="L173" s="1547"/>
      <c r="M173" s="1547"/>
      <c r="N173" s="1060"/>
      <c r="O173" s="1060"/>
      <c r="P173" s="1060"/>
      <c r="Q173" s="1060"/>
      <c r="R173" s="1547"/>
      <c r="S173" s="1060"/>
      <c r="T173" s="1060"/>
      <c r="U173" s="469"/>
      <c r="V173" s="1060"/>
      <c r="W173" s="1060"/>
      <c r="X173" s="1060"/>
      <c r="Y173" s="1060"/>
      <c r="Z173" s="1060"/>
      <c r="AA173" s="1543"/>
      <c r="AB173" s="491"/>
      <c r="AC173" s="491"/>
      <c r="AD173" s="491"/>
      <c r="AE173" s="491"/>
    </row>
    <row r="174" spans="1:31" s="6503" customFormat="1" ht="11.25" customHeight="1">
      <c r="A174" s="895"/>
      <c r="B174" s="1547"/>
      <c r="C174" s="1547"/>
      <c r="D174" s="276"/>
      <c r="K174" s="1060"/>
      <c r="L174" s="1547"/>
      <c r="M174" s="1547"/>
      <c r="N174" s="1060"/>
      <c r="O174" s="1060"/>
      <c r="P174" s="1060"/>
      <c r="Q174" s="1060"/>
      <c r="R174" s="1547"/>
      <c r="S174" s="1060"/>
      <c r="T174" s="1060"/>
      <c r="U174" s="469"/>
      <c r="V174" s="1060"/>
      <c r="W174" s="1060"/>
      <c r="X174" s="1060"/>
      <c r="Y174" s="1060"/>
      <c r="Z174" s="1060"/>
      <c r="AA174" s="1543"/>
      <c r="AB174" s="491"/>
      <c r="AC174" s="491"/>
      <c r="AD174" s="491"/>
      <c r="AE174" s="491"/>
    </row>
    <row r="175" spans="1:31" s="6503" customFormat="1" ht="11.25" customHeight="1">
      <c r="A175" s="895"/>
      <c r="B175" s="1547"/>
      <c r="C175" s="1547"/>
      <c r="D175" s="276"/>
      <c r="K175" s="1060"/>
      <c r="L175" s="1547"/>
      <c r="M175" s="1547"/>
      <c r="N175" s="1060"/>
      <c r="O175" s="1060"/>
      <c r="P175" s="1060"/>
      <c r="Q175" s="1060"/>
      <c r="R175" s="1547"/>
      <c r="S175" s="1060"/>
      <c r="T175" s="1060"/>
      <c r="U175" s="469"/>
      <c r="V175" s="1060"/>
      <c r="W175" s="1060"/>
      <c r="X175" s="1060"/>
      <c r="Y175" s="1060"/>
      <c r="Z175" s="1060"/>
      <c r="AA175" s="1543"/>
      <c r="AB175" s="491"/>
      <c r="AC175" s="491"/>
      <c r="AD175" s="491"/>
      <c r="AE175" s="491"/>
    </row>
    <row r="176" spans="1:31" s="6503" customFormat="1" ht="11.25" customHeight="1">
      <c r="A176" s="895"/>
      <c r="B176" s="1547"/>
      <c r="C176" s="1547"/>
      <c r="D176" s="276"/>
      <c r="K176" s="1060"/>
      <c r="L176" s="1547"/>
      <c r="M176" s="1547"/>
      <c r="N176" s="1060"/>
      <c r="O176" s="1060"/>
      <c r="P176" s="1060"/>
      <c r="Q176" s="1060"/>
      <c r="R176" s="1547"/>
      <c r="S176" s="1060"/>
      <c r="T176" s="1060"/>
      <c r="U176" s="469"/>
      <c r="V176" s="1060"/>
      <c r="W176" s="1060"/>
      <c r="X176" s="1060"/>
      <c r="Y176" s="1060"/>
      <c r="Z176" s="1060"/>
      <c r="AA176" s="1543"/>
      <c r="AB176" s="491"/>
      <c r="AC176" s="491"/>
      <c r="AD176" s="491"/>
      <c r="AE176" s="491"/>
    </row>
    <row r="177" spans="1:31" s="6503" customFormat="1" ht="11.25" customHeight="1">
      <c r="A177" s="895"/>
      <c r="B177" s="1547"/>
      <c r="C177" s="1547"/>
      <c r="D177" s="276"/>
      <c r="K177" s="1060"/>
      <c r="L177" s="1547"/>
      <c r="M177" s="1547"/>
      <c r="N177" s="1060"/>
      <c r="O177" s="1060"/>
      <c r="P177" s="1060"/>
      <c r="Q177" s="1060"/>
      <c r="R177" s="1547"/>
      <c r="S177" s="1060"/>
      <c r="T177" s="1060"/>
      <c r="U177" s="469"/>
      <c r="V177" s="1060"/>
      <c r="W177" s="1060"/>
      <c r="X177" s="1060"/>
      <c r="Y177" s="1060"/>
      <c r="Z177" s="1060"/>
      <c r="AA177" s="1543"/>
      <c r="AB177" s="491"/>
      <c r="AC177" s="491"/>
      <c r="AD177" s="491"/>
      <c r="AE177" s="491"/>
    </row>
    <row r="178" spans="1:31" s="6503" customFormat="1" ht="11.25" customHeight="1">
      <c r="A178" s="895"/>
      <c r="B178" s="1547"/>
      <c r="C178" s="1547"/>
      <c r="D178" s="276"/>
      <c r="K178" s="1060"/>
      <c r="L178" s="1547"/>
      <c r="M178" s="1547"/>
      <c r="N178" s="1060"/>
      <c r="O178" s="1060"/>
      <c r="P178" s="1060"/>
      <c r="Q178" s="1060"/>
      <c r="R178" s="1547"/>
      <c r="S178" s="1060"/>
      <c r="T178" s="1060"/>
      <c r="U178" s="469"/>
      <c r="V178" s="1060"/>
      <c r="W178" s="1060"/>
      <c r="X178" s="1060"/>
      <c r="Y178" s="1060"/>
      <c r="Z178" s="1060"/>
      <c r="AA178" s="1543"/>
      <c r="AB178" s="491"/>
      <c r="AC178" s="491"/>
      <c r="AD178" s="491"/>
      <c r="AE178" s="491"/>
    </row>
    <row r="179" spans="1:31" s="6503" customFormat="1" ht="11.25" customHeight="1">
      <c r="A179" s="895"/>
      <c r="B179" s="1547"/>
      <c r="C179" s="1547"/>
      <c r="D179" s="276"/>
      <c r="K179" s="1060"/>
      <c r="L179" s="1547"/>
      <c r="M179" s="1547"/>
      <c r="N179" s="1060"/>
      <c r="O179" s="1060"/>
      <c r="P179" s="1060"/>
      <c r="Q179" s="1060"/>
      <c r="R179" s="1547"/>
      <c r="S179" s="1060"/>
      <c r="T179" s="1060"/>
      <c r="U179" s="469"/>
      <c r="V179" s="1060"/>
      <c r="W179" s="1060"/>
      <c r="X179" s="1060"/>
      <c r="Y179" s="1060"/>
      <c r="Z179" s="1060"/>
      <c r="AA179" s="1543"/>
      <c r="AB179" s="491"/>
      <c r="AC179" s="491"/>
      <c r="AD179" s="491"/>
      <c r="AE179" s="491"/>
    </row>
    <row r="180" spans="1:31" s="6503" customFormat="1" ht="11.25" customHeight="1">
      <c r="A180" s="895"/>
      <c r="B180" s="1547"/>
      <c r="C180" s="1547"/>
      <c r="D180" s="276"/>
      <c r="K180" s="1060"/>
      <c r="L180" s="1547"/>
      <c r="M180" s="1547"/>
      <c r="N180" s="1060"/>
      <c r="O180" s="1060"/>
      <c r="P180" s="1060"/>
      <c r="Q180" s="1060"/>
      <c r="R180" s="1547"/>
      <c r="S180" s="1060"/>
      <c r="T180" s="1060"/>
      <c r="U180" s="469"/>
      <c r="V180" s="1060"/>
      <c r="W180" s="1060"/>
      <c r="X180" s="1060"/>
      <c r="Y180" s="1060"/>
      <c r="Z180" s="1060"/>
      <c r="AA180" s="1543"/>
      <c r="AB180" s="491"/>
      <c r="AC180" s="491"/>
      <c r="AD180" s="491"/>
      <c r="AE180" s="491"/>
    </row>
    <row r="181" spans="1:31" s="6503" customFormat="1" ht="11.25" customHeight="1">
      <c r="A181" s="895"/>
      <c r="B181" s="1547"/>
      <c r="C181" s="1547"/>
      <c r="D181" s="276"/>
      <c r="K181" s="1060"/>
      <c r="L181" s="1547"/>
      <c r="M181" s="1547"/>
      <c r="N181" s="1060"/>
      <c r="O181" s="1060"/>
      <c r="P181" s="1060"/>
      <c r="Q181" s="1060"/>
      <c r="R181" s="1547"/>
      <c r="S181" s="1060"/>
      <c r="T181" s="1060"/>
      <c r="U181" s="469"/>
      <c r="V181" s="1060"/>
      <c r="W181" s="1060"/>
      <c r="X181" s="1060"/>
      <c r="Y181" s="1060"/>
      <c r="Z181" s="1060"/>
      <c r="AA181" s="1543"/>
      <c r="AB181" s="491"/>
      <c r="AC181" s="491"/>
      <c r="AD181" s="491"/>
      <c r="AE181" s="491"/>
    </row>
    <row r="182" spans="1:31" s="6503" customFormat="1" ht="11.25" customHeight="1">
      <c r="A182" s="895"/>
      <c r="B182" s="1547"/>
      <c r="C182" s="1547"/>
      <c r="D182" s="276"/>
      <c r="K182" s="1060"/>
      <c r="L182" s="1547"/>
      <c r="M182" s="1547"/>
      <c r="N182" s="1060"/>
      <c r="O182" s="1060"/>
      <c r="P182" s="1060"/>
      <c r="Q182" s="1060"/>
      <c r="R182" s="1547"/>
      <c r="S182" s="1060"/>
      <c r="T182" s="1060"/>
      <c r="U182" s="469"/>
      <c r="V182" s="1060"/>
      <c r="W182" s="1060"/>
      <c r="X182" s="1060"/>
      <c r="Y182" s="1060"/>
      <c r="Z182" s="1060"/>
      <c r="AA182" s="1543"/>
      <c r="AB182" s="491"/>
      <c r="AC182" s="491"/>
      <c r="AD182" s="491"/>
      <c r="AE182" s="491"/>
    </row>
    <row r="183" spans="1:31" s="6503" customFormat="1" ht="11.25" customHeight="1">
      <c r="A183" s="895"/>
      <c r="B183" s="1547"/>
      <c r="C183" s="1547"/>
      <c r="D183" s="276"/>
      <c r="K183" s="1060"/>
      <c r="L183" s="1547"/>
      <c r="M183" s="1547"/>
      <c r="N183" s="1060"/>
      <c r="O183" s="1060"/>
      <c r="P183" s="1060"/>
      <c r="Q183" s="1060"/>
      <c r="R183" s="1547"/>
      <c r="S183" s="1060"/>
      <c r="T183" s="1060"/>
      <c r="U183" s="469"/>
      <c r="V183" s="1060"/>
      <c r="W183" s="1060"/>
      <c r="X183" s="1060"/>
      <c r="Y183" s="1060"/>
      <c r="Z183" s="1060"/>
      <c r="AA183" s="1543"/>
      <c r="AB183" s="491"/>
      <c r="AC183" s="491"/>
      <c r="AD183" s="491"/>
      <c r="AE183" s="491"/>
    </row>
    <row r="184" spans="1:31" s="6503" customFormat="1" ht="11.25" customHeight="1">
      <c r="A184" s="895"/>
      <c r="B184" s="1547"/>
      <c r="C184" s="1547"/>
      <c r="D184" s="276"/>
      <c r="K184" s="1060"/>
      <c r="L184" s="1547"/>
      <c r="M184" s="1547"/>
      <c r="N184" s="1060"/>
      <c r="O184" s="1060"/>
      <c r="P184" s="1060"/>
      <c r="Q184" s="1060"/>
      <c r="R184" s="1547"/>
      <c r="S184" s="1060"/>
      <c r="T184" s="1060"/>
      <c r="U184" s="469"/>
      <c r="V184" s="1060"/>
      <c r="W184" s="1060"/>
      <c r="X184" s="1060"/>
      <c r="Y184" s="1060"/>
      <c r="Z184" s="1060"/>
      <c r="AA184" s="1543"/>
      <c r="AB184" s="491"/>
      <c r="AC184" s="491"/>
      <c r="AD184" s="491"/>
      <c r="AE184" s="491"/>
    </row>
    <row r="185" spans="1:31" s="6503" customFormat="1" ht="11.25" customHeight="1">
      <c r="A185" s="895"/>
      <c r="B185" s="1547"/>
      <c r="C185" s="1547"/>
      <c r="D185" s="276"/>
      <c r="K185" s="1060"/>
      <c r="L185" s="1547"/>
      <c r="M185" s="1547"/>
      <c r="N185" s="1060"/>
      <c r="O185" s="1060"/>
      <c r="P185" s="1060"/>
      <c r="Q185" s="1060"/>
      <c r="R185" s="1547"/>
      <c r="S185" s="1060"/>
      <c r="T185" s="1060"/>
      <c r="U185" s="469"/>
      <c r="V185" s="1060"/>
      <c r="W185" s="1060"/>
      <c r="X185" s="1060"/>
      <c r="Y185" s="1060"/>
      <c r="Z185" s="1060"/>
      <c r="AA185" s="1543"/>
      <c r="AB185" s="491"/>
      <c r="AC185" s="491"/>
      <c r="AD185" s="491"/>
      <c r="AE185" s="491"/>
    </row>
    <row r="186" spans="1:31" s="6503" customFormat="1" ht="11.25" customHeight="1">
      <c r="A186" s="895"/>
      <c r="B186" s="1547"/>
      <c r="C186" s="1547"/>
      <c r="D186" s="276"/>
      <c r="K186" s="1060"/>
      <c r="L186" s="1547"/>
      <c r="M186" s="1547"/>
      <c r="N186" s="1060"/>
      <c r="O186" s="1060"/>
      <c r="P186" s="1060"/>
      <c r="Q186" s="1060"/>
      <c r="R186" s="1547"/>
      <c r="S186" s="1060"/>
      <c r="T186" s="1060"/>
      <c r="U186" s="469"/>
      <c r="V186" s="1060"/>
      <c r="W186" s="1060"/>
      <c r="X186" s="1060"/>
      <c r="Y186" s="1060"/>
      <c r="Z186" s="1060"/>
      <c r="AA186" s="1543"/>
      <c r="AB186" s="491"/>
      <c r="AC186" s="491"/>
      <c r="AD186" s="491"/>
      <c r="AE186" s="491"/>
    </row>
    <row r="187" spans="1:31" s="6503" customFormat="1" ht="11.25" customHeight="1">
      <c r="A187" s="895"/>
      <c r="B187" s="1547"/>
      <c r="C187" s="1547"/>
      <c r="D187" s="276"/>
      <c r="K187" s="1060"/>
      <c r="L187" s="1547"/>
      <c r="M187" s="1547"/>
      <c r="N187" s="1060"/>
      <c r="O187" s="1060"/>
      <c r="P187" s="1060"/>
      <c r="Q187" s="1060"/>
      <c r="R187" s="1547"/>
      <c r="S187" s="1060"/>
      <c r="T187" s="1060"/>
      <c r="U187" s="469"/>
      <c r="V187" s="1060"/>
      <c r="W187" s="1060"/>
      <c r="X187" s="1060"/>
      <c r="Y187" s="1060"/>
      <c r="Z187" s="1060"/>
      <c r="AA187" s="1543"/>
      <c r="AB187" s="491"/>
      <c r="AC187" s="491"/>
      <c r="AD187" s="491"/>
      <c r="AE187" s="491"/>
    </row>
    <row r="188" spans="1:31" s="6503" customFormat="1" ht="11.25" customHeight="1">
      <c r="A188" s="895"/>
      <c r="B188" s="1547"/>
      <c r="C188" s="1547"/>
      <c r="D188" s="276"/>
      <c r="K188" s="1060"/>
      <c r="L188" s="1547"/>
      <c r="M188" s="1547"/>
      <c r="N188" s="1060"/>
      <c r="O188" s="1060"/>
      <c r="P188" s="1060"/>
      <c r="Q188" s="1060"/>
      <c r="R188" s="1547"/>
      <c r="S188" s="1060"/>
      <c r="T188" s="1060"/>
      <c r="U188" s="469"/>
      <c r="V188" s="1060"/>
      <c r="W188" s="1060"/>
      <c r="X188" s="1060"/>
      <c r="Y188" s="1060"/>
      <c r="Z188" s="1060"/>
      <c r="AA188" s="1543"/>
      <c r="AB188" s="491"/>
      <c r="AC188" s="491"/>
      <c r="AD188" s="491"/>
      <c r="AE188" s="491"/>
    </row>
    <row r="189" spans="1:31" s="6503" customFormat="1" ht="11.25" customHeight="1">
      <c r="A189" s="895"/>
      <c r="B189" s="1547"/>
      <c r="C189" s="1547"/>
      <c r="D189" s="276"/>
      <c r="K189" s="1060"/>
      <c r="L189" s="1547"/>
      <c r="M189" s="1547"/>
      <c r="N189" s="1060"/>
      <c r="O189" s="1060"/>
      <c r="P189" s="1060"/>
      <c r="Q189" s="1060"/>
      <c r="R189" s="1547"/>
      <c r="S189" s="1060"/>
      <c r="T189" s="1060"/>
      <c r="U189" s="469"/>
      <c r="V189" s="1060"/>
      <c r="W189" s="1060"/>
      <c r="X189" s="1060"/>
      <c r="Y189" s="1060"/>
      <c r="Z189" s="1060"/>
      <c r="AA189" s="1543"/>
      <c r="AB189" s="491"/>
      <c r="AC189" s="491"/>
      <c r="AD189" s="491"/>
      <c r="AE189" s="491"/>
    </row>
    <row r="190" spans="1:31" s="6503" customFormat="1" ht="11.25" customHeight="1">
      <c r="A190" s="895"/>
      <c r="B190" s="1547"/>
      <c r="C190" s="1547"/>
      <c r="D190" s="276"/>
      <c r="K190" s="1060"/>
      <c r="L190" s="1547"/>
      <c r="M190" s="1547"/>
      <c r="N190" s="1060"/>
      <c r="O190" s="1060"/>
      <c r="P190" s="1060"/>
      <c r="Q190" s="1060"/>
      <c r="R190" s="1547"/>
      <c r="S190" s="1060"/>
      <c r="T190" s="1060"/>
      <c r="U190" s="469"/>
      <c r="V190" s="1060"/>
      <c r="W190" s="1060"/>
      <c r="X190" s="1060"/>
      <c r="Y190" s="1060"/>
      <c r="Z190" s="1060"/>
      <c r="AA190" s="1543"/>
      <c r="AB190" s="491"/>
      <c r="AC190" s="491"/>
      <c r="AD190" s="491"/>
      <c r="AE190" s="491"/>
    </row>
    <row r="191" spans="1:31" s="6503" customFormat="1" ht="11.25" customHeight="1">
      <c r="A191" s="895"/>
      <c r="B191" s="1547"/>
      <c r="C191" s="1547"/>
      <c r="D191" s="276"/>
      <c r="K191" s="1060"/>
      <c r="L191" s="1547"/>
      <c r="M191" s="1547"/>
      <c r="N191" s="1060"/>
      <c r="O191" s="1060"/>
      <c r="P191" s="1060"/>
      <c r="Q191" s="1060"/>
      <c r="R191" s="1547"/>
      <c r="S191" s="1060"/>
      <c r="T191" s="1060"/>
      <c r="U191" s="469"/>
      <c r="V191" s="1060"/>
      <c r="W191" s="1060"/>
      <c r="X191" s="1060"/>
      <c r="Y191" s="1060"/>
      <c r="Z191" s="1060"/>
      <c r="AA191" s="1543"/>
      <c r="AB191" s="491"/>
      <c r="AC191" s="491"/>
      <c r="AD191" s="491"/>
      <c r="AE191" s="491"/>
    </row>
    <row r="192" spans="1:31" s="6503" customFormat="1" ht="11.25" customHeight="1">
      <c r="A192" s="895"/>
      <c r="B192" s="1547"/>
      <c r="C192" s="1547"/>
      <c r="D192" s="276"/>
      <c r="K192" s="1060"/>
      <c r="L192" s="1547"/>
      <c r="M192" s="1547"/>
      <c r="N192" s="1060"/>
      <c r="O192" s="1060"/>
      <c r="P192" s="1060"/>
      <c r="Q192" s="1060"/>
      <c r="R192" s="1547"/>
      <c r="S192" s="1060"/>
      <c r="T192" s="1060"/>
      <c r="U192" s="469"/>
      <c r="V192" s="1060"/>
      <c r="W192" s="1060"/>
      <c r="X192" s="1060"/>
      <c r="Y192" s="1060"/>
      <c r="Z192" s="1060"/>
      <c r="AA192" s="1543"/>
      <c r="AB192" s="491"/>
      <c r="AC192" s="491"/>
      <c r="AD192" s="491"/>
      <c r="AE192" s="491"/>
    </row>
    <row r="193" spans="1:31" s="6503" customFormat="1" ht="11.25" customHeight="1">
      <c r="A193" s="895"/>
      <c r="B193" s="1547"/>
      <c r="C193" s="1547"/>
      <c r="D193" s="276"/>
      <c r="K193" s="1060"/>
      <c r="L193" s="1547"/>
      <c r="M193" s="1547"/>
      <c r="N193" s="1060"/>
      <c r="O193" s="1060"/>
      <c r="P193" s="1060"/>
      <c r="Q193" s="1060"/>
      <c r="R193" s="1547"/>
      <c r="S193" s="1060"/>
      <c r="T193" s="1060"/>
      <c r="U193" s="469"/>
      <c r="V193" s="1060"/>
      <c r="W193" s="1060"/>
      <c r="X193" s="1060"/>
      <c r="Y193" s="1060"/>
      <c r="Z193" s="1060"/>
      <c r="AA193" s="1543"/>
      <c r="AB193" s="491"/>
      <c r="AC193" s="491"/>
      <c r="AD193" s="491"/>
      <c r="AE193" s="491"/>
    </row>
    <row r="194" spans="1:31" s="6503" customFormat="1" ht="11.25" customHeight="1">
      <c r="A194" s="895"/>
      <c r="B194" s="1547"/>
      <c r="C194" s="1547"/>
      <c r="D194" s="276"/>
      <c r="K194" s="1060"/>
      <c r="L194" s="1547"/>
      <c r="M194" s="1547"/>
      <c r="N194" s="1060"/>
      <c r="O194" s="1060"/>
      <c r="P194" s="1060"/>
      <c r="Q194" s="1060"/>
      <c r="R194" s="1547"/>
      <c r="S194" s="1060"/>
      <c r="T194" s="1060"/>
      <c r="U194" s="469"/>
      <c r="V194" s="1060"/>
      <c r="W194" s="1060"/>
      <c r="X194" s="1060"/>
      <c r="Y194" s="1060"/>
      <c r="Z194" s="1060"/>
      <c r="AA194" s="1543"/>
      <c r="AB194" s="491"/>
      <c r="AC194" s="491"/>
      <c r="AD194" s="491"/>
      <c r="AE194" s="491"/>
    </row>
    <row r="195" spans="1:31" s="6503" customFormat="1" ht="11.25" customHeight="1">
      <c r="A195" s="895"/>
      <c r="B195" s="1547"/>
      <c r="C195" s="1547"/>
      <c r="D195" s="276"/>
      <c r="K195" s="1060"/>
      <c r="L195" s="1547"/>
      <c r="M195" s="1547"/>
      <c r="N195" s="1060"/>
      <c r="O195" s="1060"/>
      <c r="P195" s="1060"/>
      <c r="Q195" s="1060"/>
      <c r="R195" s="1547"/>
      <c r="S195" s="1060"/>
      <c r="T195" s="1060"/>
      <c r="U195" s="469"/>
      <c r="V195" s="1060"/>
      <c r="W195" s="1060"/>
      <c r="X195" s="1060"/>
      <c r="Y195" s="1060"/>
      <c r="Z195" s="1060"/>
      <c r="AA195" s="1543"/>
      <c r="AB195" s="491"/>
      <c r="AC195" s="491"/>
      <c r="AD195" s="491"/>
      <c r="AE195" s="491"/>
    </row>
    <row r="196" spans="1:31" s="6503" customFormat="1" ht="11.25" customHeight="1">
      <c r="A196" s="895"/>
      <c r="B196" s="1547"/>
      <c r="C196" s="1547"/>
      <c r="D196" s="276"/>
      <c r="K196" s="1060"/>
      <c r="L196" s="1547"/>
      <c r="M196" s="1547"/>
      <c r="N196" s="1060"/>
      <c r="O196" s="1060"/>
      <c r="P196" s="1060"/>
      <c r="Q196" s="1060"/>
      <c r="R196" s="1547"/>
      <c r="S196" s="1060"/>
      <c r="T196" s="1060"/>
      <c r="U196" s="469"/>
      <c r="V196" s="1060"/>
      <c r="W196" s="1060"/>
      <c r="X196" s="1060"/>
      <c r="Y196" s="1060"/>
      <c r="Z196" s="1060"/>
      <c r="AA196" s="1543"/>
      <c r="AB196" s="491"/>
      <c r="AC196" s="491"/>
      <c r="AD196" s="491"/>
      <c r="AE196" s="491"/>
    </row>
    <row r="197" spans="1:31" s="6503" customFormat="1" ht="11.25" customHeight="1">
      <c r="A197" s="895"/>
      <c r="B197" s="1547"/>
      <c r="C197" s="1547"/>
      <c r="D197" s="276"/>
      <c r="K197" s="1060"/>
      <c r="L197" s="1547"/>
      <c r="M197" s="1547"/>
      <c r="N197" s="1060"/>
      <c r="O197" s="1060"/>
      <c r="P197" s="1060"/>
      <c r="Q197" s="1060"/>
      <c r="R197" s="1547"/>
      <c r="S197" s="1060"/>
      <c r="T197" s="1060"/>
      <c r="U197" s="469"/>
      <c r="V197" s="1060"/>
      <c r="W197" s="1060"/>
      <c r="X197" s="1060"/>
      <c r="Y197" s="1060"/>
      <c r="Z197" s="1060"/>
      <c r="AA197" s="1543"/>
      <c r="AB197" s="491"/>
      <c r="AC197" s="491"/>
      <c r="AD197" s="491"/>
      <c r="AE197" s="491"/>
    </row>
    <row r="198" spans="1:31" s="6503" customFormat="1" ht="11.25" customHeight="1">
      <c r="A198" s="895"/>
      <c r="B198" s="1547"/>
      <c r="C198" s="1547"/>
      <c r="D198" s="276"/>
      <c r="K198" s="1060"/>
      <c r="L198" s="1547"/>
      <c r="M198" s="1547"/>
      <c r="N198" s="1060"/>
      <c r="O198" s="1060"/>
      <c r="P198" s="1060"/>
      <c r="Q198" s="1060"/>
      <c r="R198" s="1547"/>
      <c r="S198" s="1060"/>
      <c r="T198" s="1060"/>
      <c r="U198" s="469"/>
      <c r="V198" s="1060"/>
      <c r="W198" s="1060"/>
      <c r="X198" s="1060"/>
      <c r="Y198" s="1060"/>
      <c r="Z198" s="1060"/>
      <c r="AA198" s="1543"/>
      <c r="AB198" s="491"/>
      <c r="AC198" s="491"/>
      <c r="AD198" s="491"/>
      <c r="AE198" s="491"/>
    </row>
    <row r="199" spans="1:31" s="6503" customFormat="1" ht="11.25" customHeight="1">
      <c r="A199" s="895"/>
      <c r="B199" s="1547"/>
      <c r="C199" s="1547"/>
      <c r="D199" s="276"/>
      <c r="K199" s="1060"/>
      <c r="L199" s="1547"/>
      <c r="M199" s="1547"/>
      <c r="N199" s="1060"/>
      <c r="O199" s="1060"/>
      <c r="P199" s="1060"/>
      <c r="Q199" s="1060"/>
      <c r="R199" s="1547"/>
      <c r="S199" s="1060"/>
      <c r="T199" s="1060"/>
      <c r="U199" s="469"/>
      <c r="V199" s="1060"/>
      <c r="W199" s="1060"/>
      <c r="X199" s="1060"/>
      <c r="Y199" s="1060"/>
      <c r="Z199" s="1060"/>
      <c r="AA199" s="1543"/>
      <c r="AB199" s="491"/>
      <c r="AC199" s="491"/>
      <c r="AD199" s="491"/>
      <c r="AE199" s="491"/>
    </row>
    <row r="200" spans="1:31" s="6503" customFormat="1" ht="11.25" customHeight="1">
      <c r="A200" s="895"/>
      <c r="B200" s="1547"/>
      <c r="C200" s="1547"/>
      <c r="D200" s="276"/>
      <c r="K200" s="1060"/>
      <c r="L200" s="1547"/>
      <c r="M200" s="1547"/>
      <c r="N200" s="1060"/>
      <c r="O200" s="1060"/>
      <c r="P200" s="1060"/>
      <c r="Q200" s="1060"/>
      <c r="R200" s="1547"/>
      <c r="S200" s="1060"/>
      <c r="T200" s="1060"/>
      <c r="U200" s="469"/>
      <c r="V200" s="1060"/>
      <c r="W200" s="1060"/>
      <c r="X200" s="1060"/>
      <c r="Y200" s="1060"/>
      <c r="Z200" s="1060"/>
      <c r="AA200" s="1543"/>
      <c r="AB200" s="491"/>
      <c r="AC200" s="491"/>
      <c r="AD200" s="491"/>
      <c r="AE200" s="491"/>
    </row>
    <row r="201" spans="1:31" s="6503" customFormat="1" ht="11.25" customHeight="1">
      <c r="A201" s="895"/>
      <c r="B201" s="1547"/>
      <c r="C201" s="1547"/>
      <c r="D201" s="276"/>
      <c r="K201" s="1060"/>
      <c r="L201" s="1547"/>
      <c r="M201" s="1547"/>
      <c r="N201" s="1060"/>
      <c r="O201" s="1060"/>
      <c r="P201" s="1060"/>
      <c r="Q201" s="1060"/>
      <c r="R201" s="1547"/>
      <c r="S201" s="1060"/>
      <c r="T201" s="1060"/>
      <c r="U201" s="469"/>
      <c r="V201" s="1060"/>
      <c r="W201" s="1060"/>
      <c r="X201" s="1060"/>
      <c r="Y201" s="1060"/>
      <c r="Z201" s="1060"/>
      <c r="AA201" s="1543"/>
      <c r="AB201" s="491"/>
      <c r="AC201" s="491"/>
      <c r="AD201" s="491"/>
      <c r="AE201" s="491"/>
    </row>
    <row r="202" spans="1:31" s="6503" customFormat="1" ht="11.25" customHeight="1">
      <c r="A202" s="895"/>
      <c r="B202" s="1547"/>
      <c r="C202" s="1547"/>
      <c r="D202" s="276"/>
      <c r="K202" s="1060"/>
      <c r="L202" s="1547"/>
      <c r="M202" s="1547"/>
      <c r="N202" s="1060"/>
      <c r="O202" s="1060"/>
      <c r="P202" s="1060"/>
      <c r="Q202" s="1060"/>
      <c r="R202" s="1547"/>
      <c r="S202" s="1060"/>
      <c r="T202" s="1060"/>
      <c r="U202" s="469"/>
      <c r="V202" s="1060"/>
      <c r="W202" s="1060"/>
      <c r="X202" s="1060"/>
      <c r="Y202" s="1060"/>
      <c r="Z202" s="1060"/>
      <c r="AA202" s="1543"/>
      <c r="AB202" s="491"/>
      <c r="AC202" s="491"/>
      <c r="AD202" s="491"/>
      <c r="AE202" s="491"/>
    </row>
    <row r="203" spans="1:31" s="6503" customFormat="1" ht="11.25" customHeight="1">
      <c r="A203" s="895"/>
      <c r="B203" s="1547"/>
      <c r="C203" s="1547"/>
      <c r="D203" s="276"/>
      <c r="K203" s="1060"/>
      <c r="L203" s="1547"/>
      <c r="M203" s="1547"/>
      <c r="N203" s="1060"/>
      <c r="O203" s="1060"/>
      <c r="P203" s="1060"/>
      <c r="Q203" s="1060"/>
      <c r="R203" s="1547"/>
      <c r="S203" s="1060"/>
      <c r="T203" s="1060"/>
      <c r="U203" s="469"/>
      <c r="V203" s="1060"/>
      <c r="W203" s="1060"/>
      <c r="X203" s="1060"/>
      <c r="Y203" s="1060"/>
      <c r="Z203" s="1060"/>
      <c r="AA203" s="1543"/>
      <c r="AB203" s="491"/>
      <c r="AC203" s="491"/>
      <c r="AD203" s="491"/>
      <c r="AE203" s="491"/>
    </row>
    <row r="204" spans="1:31" s="6503" customFormat="1" ht="11.25" customHeight="1">
      <c r="A204" s="895"/>
      <c r="B204" s="1547"/>
      <c r="C204" s="1547"/>
      <c r="D204" s="276"/>
      <c r="K204" s="1060"/>
      <c r="L204" s="1547"/>
      <c r="M204" s="1547"/>
      <c r="N204" s="1060"/>
      <c r="O204" s="1060"/>
      <c r="P204" s="1060"/>
      <c r="Q204" s="1060"/>
      <c r="R204" s="1547"/>
      <c r="S204" s="1060"/>
      <c r="T204" s="1060"/>
      <c r="U204" s="469"/>
      <c r="V204" s="1060"/>
      <c r="W204" s="1060"/>
      <c r="X204" s="1060"/>
      <c r="Y204" s="1060"/>
      <c r="Z204" s="1060"/>
      <c r="AA204" s="1543"/>
      <c r="AB204" s="491"/>
      <c r="AC204" s="491"/>
      <c r="AD204" s="491"/>
      <c r="AE204" s="491"/>
    </row>
    <row r="205" spans="1:31" s="6503" customFormat="1" ht="11.25" customHeight="1">
      <c r="A205" s="895"/>
      <c r="B205" s="1547"/>
      <c r="C205" s="1547"/>
      <c r="D205" s="276"/>
      <c r="K205" s="1060"/>
      <c r="L205" s="1547"/>
      <c r="M205" s="1547"/>
      <c r="N205" s="1060"/>
      <c r="O205" s="1060"/>
      <c r="P205" s="1060"/>
      <c r="Q205" s="1060"/>
      <c r="R205" s="1547"/>
      <c r="S205" s="1060"/>
      <c r="T205" s="1060"/>
      <c r="U205" s="469"/>
      <c r="V205" s="1060"/>
      <c r="W205" s="1060"/>
      <c r="X205" s="1060"/>
      <c r="Y205" s="1060"/>
      <c r="Z205" s="1060"/>
      <c r="AA205" s="1543"/>
      <c r="AB205" s="491"/>
      <c r="AC205" s="491"/>
      <c r="AD205" s="491"/>
      <c r="AE205" s="491"/>
    </row>
    <row r="206" spans="1:31" s="6503" customFormat="1" ht="11.25" customHeight="1">
      <c r="A206" s="895"/>
      <c r="B206" s="1547"/>
      <c r="C206" s="1547"/>
      <c r="D206" s="276"/>
      <c r="K206" s="1060"/>
      <c r="L206" s="1547"/>
      <c r="M206" s="1547"/>
      <c r="N206" s="1060"/>
      <c r="O206" s="1060"/>
      <c r="P206" s="1060"/>
      <c r="Q206" s="1060"/>
      <c r="R206" s="1547"/>
      <c r="S206" s="1060"/>
      <c r="T206" s="1060"/>
      <c r="U206" s="469"/>
      <c r="V206" s="1060"/>
      <c r="W206" s="1060"/>
      <c r="X206" s="1060"/>
      <c r="Y206" s="1060"/>
      <c r="Z206" s="1060"/>
      <c r="AA206" s="1543"/>
      <c r="AB206" s="491"/>
      <c r="AC206" s="491"/>
      <c r="AD206" s="491"/>
      <c r="AE206" s="491"/>
    </row>
    <row r="207" spans="1:31" s="6503" customFormat="1" ht="11.25" customHeight="1">
      <c r="A207" s="895"/>
      <c r="B207" s="1547"/>
      <c r="C207" s="1547"/>
      <c r="D207" s="276"/>
      <c r="K207" s="1060"/>
      <c r="L207" s="1547"/>
      <c r="M207" s="1547"/>
      <c r="N207" s="1060"/>
      <c r="O207" s="1060"/>
      <c r="P207" s="1060"/>
      <c r="Q207" s="1060"/>
      <c r="R207" s="1547"/>
      <c r="S207" s="1060"/>
      <c r="T207" s="1060"/>
      <c r="U207" s="469"/>
      <c r="V207" s="1060"/>
      <c r="W207" s="1060"/>
      <c r="X207" s="1060"/>
      <c r="Y207" s="1060"/>
      <c r="Z207" s="1060"/>
      <c r="AA207" s="1543"/>
      <c r="AB207" s="491"/>
      <c r="AC207" s="491"/>
      <c r="AD207" s="491"/>
      <c r="AE207" s="491"/>
    </row>
    <row r="208" spans="1:31" s="6503" customFormat="1" ht="11.25" customHeight="1">
      <c r="A208" s="895"/>
      <c r="B208" s="1547"/>
      <c r="C208" s="1547"/>
      <c r="D208" s="276"/>
      <c r="K208" s="1060"/>
      <c r="L208" s="1547"/>
      <c r="M208" s="1547"/>
      <c r="N208" s="1060"/>
      <c r="O208" s="1060"/>
      <c r="P208" s="1060"/>
      <c r="Q208" s="1060"/>
      <c r="R208" s="1547"/>
      <c r="S208" s="1060"/>
      <c r="T208" s="1060"/>
      <c r="U208" s="469"/>
      <c r="V208" s="1060"/>
      <c r="W208" s="1060"/>
      <c r="X208" s="1060"/>
      <c r="Y208" s="1060"/>
      <c r="Z208" s="1060"/>
      <c r="AA208" s="1543"/>
      <c r="AB208" s="491"/>
      <c r="AC208" s="491"/>
      <c r="AD208" s="491"/>
      <c r="AE208" s="491"/>
    </row>
    <row r="209" spans="1:31" s="6503" customFormat="1" ht="11.25" customHeight="1">
      <c r="A209" s="895"/>
      <c r="B209" s="1547"/>
      <c r="C209" s="1547"/>
      <c r="D209" s="276"/>
      <c r="K209" s="1060"/>
      <c r="L209" s="1547"/>
      <c r="M209" s="1547"/>
      <c r="N209" s="1060"/>
      <c r="O209" s="1060"/>
      <c r="P209" s="1060"/>
      <c r="Q209" s="1060"/>
      <c r="R209" s="1547"/>
      <c r="S209" s="1060"/>
      <c r="T209" s="1060"/>
      <c r="U209" s="469"/>
      <c r="V209" s="1060"/>
      <c r="W209" s="1060"/>
      <c r="X209" s="1060"/>
      <c r="Y209" s="1060"/>
      <c r="Z209" s="1060"/>
      <c r="AA209" s="1543"/>
      <c r="AB209" s="491"/>
      <c r="AC209" s="491"/>
      <c r="AD209" s="491"/>
      <c r="AE209" s="491"/>
    </row>
    <row r="210" spans="1:31" s="6503" customFormat="1" ht="11.25" customHeight="1">
      <c r="A210" s="895"/>
      <c r="B210" s="1547"/>
      <c r="C210" s="1547"/>
      <c r="D210" s="276"/>
      <c r="K210" s="1060"/>
      <c r="L210" s="1547"/>
      <c r="M210" s="1547"/>
      <c r="N210" s="1060"/>
      <c r="O210" s="1060"/>
      <c r="P210" s="1060"/>
      <c r="Q210" s="1060"/>
      <c r="R210" s="1547"/>
      <c r="S210" s="1060"/>
      <c r="T210" s="1060"/>
      <c r="U210" s="469"/>
      <c r="V210" s="1060"/>
      <c r="W210" s="1060"/>
      <c r="X210" s="1060"/>
      <c r="Y210" s="1060"/>
      <c r="Z210" s="1060"/>
      <c r="AA210" s="1543"/>
      <c r="AB210" s="491"/>
      <c r="AC210" s="491"/>
      <c r="AD210" s="491"/>
      <c r="AE210" s="491"/>
    </row>
    <row r="211" spans="1:31" s="6503" customFormat="1" ht="11.25" customHeight="1">
      <c r="A211" s="895"/>
      <c r="B211" s="1547"/>
      <c r="C211" s="1547"/>
      <c r="D211" s="276"/>
      <c r="K211" s="1060"/>
      <c r="L211" s="1547"/>
      <c r="M211" s="1547"/>
      <c r="N211" s="1060"/>
      <c r="O211" s="1060"/>
      <c r="P211" s="1060"/>
      <c r="Q211" s="1060"/>
      <c r="R211" s="1547"/>
      <c r="S211" s="1060"/>
      <c r="T211" s="1060"/>
      <c r="U211" s="469"/>
      <c r="V211" s="1060"/>
      <c r="W211" s="1060"/>
      <c r="X211" s="1060"/>
      <c r="Y211" s="1060"/>
      <c r="Z211" s="1060"/>
      <c r="AA211" s="1543"/>
      <c r="AB211" s="491"/>
      <c r="AC211" s="491"/>
      <c r="AD211" s="491"/>
      <c r="AE211" s="491"/>
    </row>
    <row r="212" spans="1:31" s="6503" customFormat="1" ht="11.25" customHeight="1">
      <c r="A212" s="895"/>
      <c r="B212" s="1547"/>
      <c r="C212" s="1547"/>
      <c r="D212" s="276"/>
      <c r="K212" s="1060"/>
      <c r="L212" s="1547"/>
      <c r="M212" s="1547"/>
      <c r="N212" s="1060"/>
      <c r="O212" s="1060"/>
      <c r="P212" s="1060"/>
      <c r="Q212" s="1060"/>
      <c r="R212" s="1547"/>
      <c r="S212" s="1060"/>
      <c r="T212" s="1060"/>
      <c r="U212" s="469"/>
      <c r="V212" s="1060"/>
      <c r="W212" s="1060"/>
      <c r="X212" s="1060"/>
      <c r="Y212" s="1060"/>
      <c r="Z212" s="1060"/>
      <c r="AA212" s="1543"/>
      <c r="AB212" s="491"/>
      <c r="AC212" s="491"/>
      <c r="AD212" s="491"/>
      <c r="AE212" s="491"/>
    </row>
    <row r="213" spans="1:31" s="6503" customFormat="1" ht="11.25" customHeight="1">
      <c r="A213" s="895"/>
      <c r="B213" s="1547"/>
      <c r="C213" s="1547"/>
      <c r="D213" s="276"/>
      <c r="K213" s="1060"/>
      <c r="L213" s="1547"/>
      <c r="M213" s="1547"/>
      <c r="N213" s="1060"/>
      <c r="O213" s="1060"/>
      <c r="P213" s="1060"/>
      <c r="Q213" s="1060"/>
      <c r="R213" s="1547"/>
      <c r="S213" s="1060"/>
      <c r="T213" s="1060"/>
      <c r="U213" s="469"/>
      <c r="V213" s="1060"/>
      <c r="W213" s="1060"/>
      <c r="X213" s="1060"/>
      <c r="Y213" s="1060"/>
      <c r="Z213" s="1060"/>
      <c r="AA213" s="1543"/>
      <c r="AB213" s="491"/>
      <c r="AC213" s="491"/>
      <c r="AD213" s="491"/>
      <c r="AE213" s="491"/>
    </row>
    <row r="214" spans="1:31" s="6503" customFormat="1" ht="11.25" customHeight="1">
      <c r="A214" s="895"/>
      <c r="B214" s="1547"/>
      <c r="C214" s="1547"/>
      <c r="D214" s="276"/>
      <c r="K214" s="1060"/>
      <c r="L214" s="1547"/>
      <c r="M214" s="1547"/>
      <c r="N214" s="1060"/>
      <c r="O214" s="1060"/>
      <c r="P214" s="1060"/>
      <c r="Q214" s="1060"/>
      <c r="R214" s="1547"/>
      <c r="S214" s="1060"/>
      <c r="T214" s="1060"/>
      <c r="U214" s="469"/>
      <c r="V214" s="1060"/>
      <c r="W214" s="1060"/>
      <c r="X214" s="1060"/>
      <c r="Y214" s="1060"/>
      <c r="Z214" s="1060"/>
      <c r="AA214" s="1543"/>
      <c r="AB214" s="491"/>
      <c r="AC214" s="491"/>
      <c r="AD214" s="491"/>
      <c r="AE214" s="491"/>
    </row>
    <row r="215" spans="1:31" s="6503" customFormat="1" ht="11.25" customHeight="1">
      <c r="A215" s="895"/>
      <c r="B215" s="1547"/>
      <c r="C215" s="1547"/>
      <c r="D215" s="276"/>
      <c r="K215" s="1060"/>
      <c r="L215" s="1547"/>
      <c r="M215" s="1547"/>
      <c r="N215" s="1060"/>
      <c r="O215" s="1060"/>
      <c r="P215" s="1060"/>
      <c r="Q215" s="1060"/>
      <c r="R215" s="1547"/>
      <c r="S215" s="1060"/>
      <c r="T215" s="1060"/>
      <c r="U215" s="469"/>
      <c r="V215" s="1060"/>
      <c r="W215" s="1060"/>
      <c r="X215" s="1060"/>
      <c r="Y215" s="1060"/>
      <c r="Z215" s="1060"/>
      <c r="AA215" s="1543"/>
      <c r="AB215" s="491"/>
      <c r="AC215" s="491"/>
      <c r="AD215" s="491"/>
      <c r="AE215" s="491"/>
    </row>
    <row r="216" spans="1:31" s="6503" customFormat="1" ht="11.25" customHeight="1">
      <c r="A216" s="895"/>
      <c r="B216" s="1547"/>
      <c r="C216" s="1547"/>
      <c r="D216" s="276"/>
      <c r="K216" s="1060"/>
      <c r="L216" s="1547"/>
      <c r="M216" s="1547"/>
      <c r="N216" s="1060"/>
      <c r="O216" s="1060"/>
      <c r="P216" s="1060"/>
      <c r="Q216" s="1060"/>
      <c r="R216" s="1547"/>
      <c r="S216" s="1060"/>
      <c r="T216" s="1060"/>
      <c r="U216" s="469"/>
      <c r="V216" s="1060"/>
      <c r="W216" s="1060"/>
      <c r="X216" s="1060"/>
      <c r="Y216" s="1060"/>
      <c r="Z216" s="1060"/>
      <c r="AA216" s="1543"/>
      <c r="AB216" s="491"/>
      <c r="AC216" s="491"/>
      <c r="AD216" s="491"/>
      <c r="AE216" s="491"/>
    </row>
    <row r="217" spans="1:31" s="6503" customFormat="1" ht="11.25" customHeight="1">
      <c r="A217" s="895"/>
      <c r="B217" s="1547"/>
      <c r="C217" s="1547"/>
      <c r="D217" s="276"/>
      <c r="K217" s="1060"/>
      <c r="L217" s="1547"/>
      <c r="M217" s="1547"/>
      <c r="N217" s="1060"/>
      <c r="O217" s="1060"/>
      <c r="P217" s="1060"/>
      <c r="Q217" s="1060"/>
      <c r="R217" s="1547"/>
      <c r="S217" s="1060"/>
      <c r="T217" s="1060"/>
      <c r="U217" s="469"/>
      <c r="V217" s="1060"/>
      <c r="W217" s="1060"/>
      <c r="X217" s="1060"/>
      <c r="Y217" s="1060"/>
      <c r="Z217" s="1060"/>
      <c r="AA217" s="1543"/>
      <c r="AB217" s="491"/>
      <c r="AC217" s="491"/>
      <c r="AD217" s="491"/>
      <c r="AE217" s="491"/>
    </row>
    <row r="218" spans="1:31" s="6503" customFormat="1" ht="11.25" customHeight="1">
      <c r="A218" s="895"/>
      <c r="B218" s="1547"/>
      <c r="C218" s="1547"/>
      <c r="D218" s="276"/>
      <c r="K218" s="1060"/>
      <c r="L218" s="1547"/>
      <c r="M218" s="1547"/>
      <c r="N218" s="1060"/>
      <c r="O218" s="1060"/>
      <c r="P218" s="1060"/>
      <c r="Q218" s="1060"/>
      <c r="R218" s="1547"/>
      <c r="S218" s="1060"/>
      <c r="T218" s="1060"/>
      <c r="U218" s="469"/>
      <c r="V218" s="1060"/>
      <c r="W218" s="1060"/>
      <c r="X218" s="1060"/>
      <c r="Y218" s="1060"/>
      <c r="Z218" s="1060"/>
      <c r="AA218" s="1543"/>
      <c r="AB218" s="491"/>
      <c r="AC218" s="491"/>
      <c r="AD218" s="491"/>
      <c r="AE218" s="491"/>
    </row>
    <row r="219" spans="1:31" s="6503" customFormat="1" ht="11.25" customHeight="1">
      <c r="A219" s="895"/>
      <c r="B219" s="1547"/>
      <c r="C219" s="1547"/>
      <c r="D219" s="276"/>
      <c r="K219" s="1060"/>
      <c r="L219" s="1547"/>
      <c r="M219" s="1547"/>
      <c r="N219" s="1060"/>
      <c r="O219" s="1060"/>
      <c r="P219" s="1060"/>
      <c r="Q219" s="1060"/>
      <c r="R219" s="1547"/>
      <c r="S219" s="1060"/>
      <c r="T219" s="1060"/>
      <c r="U219" s="469"/>
      <c r="V219" s="1060"/>
      <c r="W219" s="1060"/>
      <c r="X219" s="1060"/>
      <c r="Y219" s="1060"/>
      <c r="Z219" s="1060"/>
      <c r="AA219" s="1543"/>
      <c r="AB219" s="491"/>
      <c r="AC219" s="491"/>
      <c r="AD219" s="491"/>
      <c r="AE219" s="491"/>
    </row>
    <row r="220" spans="1:31" s="6503" customFormat="1" ht="11.25" customHeight="1">
      <c r="A220" s="895"/>
      <c r="B220" s="1547"/>
      <c r="C220" s="1547"/>
      <c r="D220" s="276"/>
      <c r="K220" s="1060"/>
      <c r="L220" s="1547"/>
      <c r="M220" s="1547"/>
      <c r="N220" s="1060"/>
      <c r="O220" s="1060"/>
      <c r="P220" s="1060"/>
      <c r="Q220" s="1060"/>
      <c r="R220" s="1547"/>
      <c r="S220" s="1060"/>
      <c r="T220" s="1060"/>
      <c r="U220" s="469"/>
      <c r="V220" s="1060"/>
      <c r="W220" s="1060"/>
      <c r="X220" s="1060"/>
      <c r="Y220" s="1060"/>
      <c r="Z220" s="1060"/>
      <c r="AA220" s="1543"/>
      <c r="AB220" s="491"/>
      <c r="AC220" s="491"/>
      <c r="AD220" s="491"/>
      <c r="AE220" s="491"/>
    </row>
    <row r="221" spans="1:31" s="6503" customFormat="1" ht="11.25" customHeight="1">
      <c r="A221" s="895"/>
      <c r="B221" s="1547"/>
      <c r="C221" s="1547"/>
      <c r="D221" s="276"/>
      <c r="K221" s="1060"/>
      <c r="L221" s="1547"/>
      <c r="M221" s="1547"/>
      <c r="N221" s="1060"/>
      <c r="O221" s="1060"/>
      <c r="P221" s="1060"/>
      <c r="Q221" s="1060"/>
      <c r="R221" s="1547"/>
      <c r="S221" s="1060"/>
      <c r="T221" s="1060"/>
      <c r="U221" s="469"/>
      <c r="V221" s="1060"/>
      <c r="W221" s="1060"/>
      <c r="X221" s="1060"/>
      <c r="Y221" s="1060"/>
      <c r="Z221" s="1060"/>
      <c r="AA221" s="1543"/>
      <c r="AB221" s="491"/>
      <c r="AC221" s="491"/>
      <c r="AD221" s="491"/>
      <c r="AE221" s="491"/>
    </row>
    <row r="222" spans="1:31" s="6503" customFormat="1" ht="11.25" customHeight="1">
      <c r="A222" s="895"/>
      <c r="B222" s="1547"/>
      <c r="C222" s="1547"/>
      <c r="D222" s="276"/>
      <c r="K222" s="1060"/>
      <c r="L222" s="1547"/>
      <c r="M222" s="1547"/>
      <c r="N222" s="1060"/>
      <c r="O222" s="1060"/>
      <c r="P222" s="1060"/>
      <c r="Q222" s="1060"/>
      <c r="R222" s="1547"/>
      <c r="S222" s="1060"/>
      <c r="T222" s="1060"/>
      <c r="U222" s="469"/>
      <c r="V222" s="1060"/>
      <c r="W222" s="1060"/>
      <c r="X222" s="1060"/>
      <c r="Y222" s="1060"/>
      <c r="Z222" s="1060"/>
      <c r="AA222" s="1543"/>
      <c r="AB222" s="491"/>
      <c r="AC222" s="491"/>
      <c r="AD222" s="491"/>
      <c r="AE222" s="491"/>
    </row>
    <row r="223" spans="1:31" s="6503" customFormat="1" ht="11.25" customHeight="1">
      <c r="A223" s="895"/>
      <c r="B223" s="1547"/>
      <c r="C223" s="1547"/>
      <c r="D223" s="276"/>
      <c r="K223" s="1060"/>
      <c r="L223" s="1547"/>
      <c r="M223" s="1547"/>
      <c r="N223" s="1060"/>
      <c r="O223" s="1060"/>
      <c r="P223" s="1060"/>
      <c r="Q223" s="1060"/>
      <c r="R223" s="1547"/>
      <c r="S223" s="1060"/>
      <c r="T223" s="1060"/>
      <c r="U223" s="469"/>
      <c r="V223" s="1060"/>
      <c r="W223" s="1060"/>
      <c r="X223" s="1060"/>
      <c r="Y223" s="1060"/>
      <c r="Z223" s="1060"/>
      <c r="AA223" s="1543"/>
      <c r="AB223" s="491"/>
      <c r="AC223" s="491"/>
      <c r="AD223" s="491"/>
      <c r="AE223" s="491"/>
    </row>
    <row r="224" spans="1:31" s="6503" customFormat="1" ht="11.25" customHeight="1">
      <c r="A224" s="895"/>
      <c r="B224" s="1547"/>
      <c r="C224" s="1547"/>
      <c r="D224" s="276"/>
      <c r="K224" s="1060"/>
      <c r="L224" s="1547"/>
      <c r="M224" s="1547"/>
      <c r="N224" s="1060"/>
      <c r="O224" s="1060"/>
      <c r="P224" s="1060"/>
      <c r="Q224" s="1060"/>
      <c r="R224" s="1547"/>
      <c r="S224" s="1060"/>
      <c r="T224" s="1060"/>
      <c r="U224" s="469"/>
      <c r="V224" s="1060"/>
      <c r="W224" s="1060"/>
      <c r="X224" s="1060"/>
      <c r="Y224" s="1060"/>
      <c r="Z224" s="1060"/>
      <c r="AA224" s="1543"/>
      <c r="AB224" s="491"/>
      <c r="AC224" s="491"/>
      <c r="AD224" s="491"/>
      <c r="AE224" s="491"/>
    </row>
    <row r="225" spans="1:31" s="6503" customFormat="1" ht="11.25" customHeight="1">
      <c r="A225" s="895"/>
      <c r="B225" s="1547"/>
      <c r="C225" s="1547"/>
      <c r="D225" s="276"/>
      <c r="K225" s="1060"/>
      <c r="L225" s="1547"/>
      <c r="M225" s="1547"/>
      <c r="N225" s="1060"/>
      <c r="O225" s="1060"/>
      <c r="P225" s="1060"/>
      <c r="Q225" s="1060"/>
      <c r="R225" s="1547"/>
      <c r="S225" s="1060"/>
      <c r="T225" s="1060"/>
      <c r="U225" s="469"/>
      <c r="V225" s="1060"/>
      <c r="W225" s="1060"/>
      <c r="X225" s="1060"/>
      <c r="Y225" s="1060"/>
      <c r="Z225" s="1060"/>
      <c r="AA225" s="1543"/>
      <c r="AB225" s="491"/>
      <c r="AC225" s="491"/>
      <c r="AD225" s="491"/>
      <c r="AE225" s="491"/>
    </row>
    <row r="226" spans="1:31" s="6503" customFormat="1" ht="11.25" customHeight="1">
      <c r="A226" s="895"/>
      <c r="B226" s="1547"/>
      <c r="C226" s="1547"/>
      <c r="D226" s="276"/>
      <c r="K226" s="1060"/>
      <c r="L226" s="1547"/>
      <c r="M226" s="1547"/>
      <c r="N226" s="1060"/>
      <c r="O226" s="1060"/>
      <c r="P226" s="1060"/>
      <c r="Q226" s="1060"/>
      <c r="R226" s="1547"/>
      <c r="S226" s="1060"/>
      <c r="T226" s="1060"/>
      <c r="U226" s="469"/>
      <c r="V226" s="1060"/>
      <c r="W226" s="1060"/>
      <c r="X226" s="1060"/>
      <c r="Y226" s="1060"/>
      <c r="Z226" s="1060"/>
      <c r="AA226" s="1543"/>
      <c r="AB226" s="491"/>
      <c r="AC226" s="491"/>
      <c r="AD226" s="491"/>
      <c r="AE226" s="491"/>
    </row>
    <row r="227" spans="1:31" s="6503" customFormat="1" ht="11.25" customHeight="1">
      <c r="A227" s="895"/>
      <c r="B227" s="1547"/>
      <c r="C227" s="1547"/>
      <c r="D227" s="276"/>
      <c r="K227" s="1060"/>
      <c r="L227" s="1547"/>
      <c r="M227" s="1547"/>
      <c r="N227" s="1060"/>
      <c r="O227" s="1060"/>
      <c r="P227" s="1060"/>
      <c r="Q227" s="1060"/>
      <c r="R227" s="1547"/>
      <c r="S227" s="1060"/>
      <c r="T227" s="1060"/>
      <c r="U227" s="469"/>
      <c r="V227" s="1060"/>
      <c r="W227" s="1060"/>
      <c r="X227" s="1060"/>
      <c r="Y227" s="1060"/>
      <c r="Z227" s="1060"/>
      <c r="AA227" s="1543"/>
      <c r="AB227" s="491"/>
      <c r="AC227" s="491"/>
      <c r="AD227" s="491"/>
      <c r="AE227" s="491"/>
    </row>
    <row r="228" spans="1:31" s="6503" customFormat="1" ht="11.25" customHeight="1">
      <c r="A228" s="895"/>
      <c r="B228" s="1547"/>
      <c r="C228" s="1547"/>
      <c r="D228" s="276"/>
      <c r="K228" s="1060"/>
      <c r="L228" s="1547"/>
      <c r="M228" s="1547"/>
      <c r="N228" s="1060"/>
      <c r="O228" s="1060"/>
      <c r="P228" s="1060"/>
      <c r="Q228" s="1060"/>
      <c r="R228" s="1547"/>
      <c r="S228" s="1060"/>
      <c r="T228" s="1060"/>
      <c r="U228" s="469"/>
      <c r="V228" s="1060"/>
      <c r="W228" s="1060"/>
      <c r="X228" s="1060"/>
      <c r="Y228" s="1060"/>
      <c r="Z228" s="1060"/>
      <c r="AA228" s="1543"/>
      <c r="AB228" s="491"/>
      <c r="AC228" s="491"/>
      <c r="AD228" s="491"/>
      <c r="AE228" s="491"/>
    </row>
    <row r="229" spans="1:31" s="6503" customFormat="1" ht="11.25" customHeight="1">
      <c r="A229" s="895"/>
      <c r="B229" s="1547"/>
      <c r="C229" s="1547"/>
      <c r="D229" s="276"/>
      <c r="K229" s="1060"/>
      <c r="L229" s="1547"/>
      <c r="M229" s="1547"/>
      <c r="N229" s="1060"/>
      <c r="O229" s="1060"/>
      <c r="P229" s="1060"/>
      <c r="Q229" s="1060"/>
      <c r="R229" s="1547"/>
      <c r="S229" s="1060"/>
      <c r="T229" s="1060"/>
      <c r="U229" s="469"/>
      <c r="V229" s="1060"/>
      <c r="W229" s="1060"/>
      <c r="X229" s="1060"/>
      <c r="Y229" s="1060"/>
      <c r="Z229" s="1060"/>
      <c r="AA229" s="1543"/>
      <c r="AB229" s="491"/>
      <c r="AC229" s="491"/>
      <c r="AD229" s="491"/>
      <c r="AE229" s="491"/>
    </row>
    <row r="230" spans="1:31" s="6503" customFormat="1" ht="11.25" customHeight="1">
      <c r="A230" s="895"/>
      <c r="B230" s="1547"/>
      <c r="C230" s="1547"/>
      <c r="D230" s="276"/>
      <c r="K230" s="1060"/>
      <c r="L230" s="1547"/>
      <c r="M230" s="1547"/>
      <c r="N230" s="1060"/>
      <c r="O230" s="1060"/>
      <c r="P230" s="1060"/>
      <c r="Q230" s="1060"/>
      <c r="R230" s="1547"/>
      <c r="S230" s="1060"/>
      <c r="T230" s="1060"/>
      <c r="U230" s="469"/>
      <c r="V230" s="1060"/>
      <c r="W230" s="1060"/>
      <c r="X230" s="1060"/>
      <c r="Y230" s="1060"/>
      <c r="Z230" s="1060"/>
      <c r="AA230" s="1543"/>
      <c r="AB230" s="491"/>
      <c r="AC230" s="491"/>
      <c r="AD230" s="491"/>
      <c r="AE230" s="491"/>
    </row>
    <row r="231" spans="1:31" s="6503" customFormat="1" ht="11.25" customHeight="1">
      <c r="A231" s="895"/>
      <c r="B231" s="1547"/>
      <c r="C231" s="1547"/>
      <c r="D231" s="276"/>
      <c r="K231" s="1060"/>
      <c r="L231" s="1547"/>
      <c r="M231" s="1547"/>
      <c r="N231" s="1060"/>
      <c r="O231" s="1060"/>
      <c r="P231" s="1060"/>
      <c r="Q231" s="1060"/>
      <c r="R231" s="1547"/>
      <c r="S231" s="1060"/>
      <c r="T231" s="1060"/>
      <c r="U231" s="469"/>
      <c r="V231" s="1060"/>
      <c r="W231" s="1060"/>
      <c r="X231" s="1060"/>
      <c r="Y231" s="1060"/>
      <c r="Z231" s="1060"/>
      <c r="AA231" s="1543"/>
      <c r="AB231" s="491"/>
      <c r="AC231" s="491"/>
      <c r="AD231" s="491"/>
      <c r="AE231" s="491"/>
    </row>
    <row r="232" spans="1:31" s="6503" customFormat="1" ht="11.25" customHeight="1">
      <c r="A232" s="895"/>
      <c r="B232" s="1547"/>
      <c r="C232" s="1547"/>
      <c r="D232" s="276"/>
      <c r="K232" s="1060"/>
      <c r="L232" s="1547"/>
      <c r="M232" s="1547"/>
      <c r="N232" s="1060"/>
      <c r="O232" s="1060"/>
      <c r="P232" s="1060"/>
      <c r="Q232" s="1060"/>
      <c r="R232" s="1547"/>
      <c r="S232" s="1060"/>
      <c r="T232" s="1060"/>
      <c r="U232" s="469"/>
      <c r="V232" s="1060"/>
      <c r="W232" s="1060"/>
      <c r="X232" s="1060"/>
      <c r="Y232" s="1060"/>
      <c r="Z232" s="1060"/>
      <c r="AA232" s="1543"/>
      <c r="AB232" s="491"/>
      <c r="AC232" s="491"/>
      <c r="AD232" s="491"/>
      <c r="AE232" s="491"/>
    </row>
    <row r="233" spans="1:31" s="6503" customFormat="1" ht="11.25" customHeight="1">
      <c r="A233" s="895"/>
      <c r="B233" s="1547"/>
      <c r="C233" s="1547"/>
      <c r="D233" s="276"/>
      <c r="K233" s="1060"/>
      <c r="L233" s="1547"/>
      <c r="M233" s="1547"/>
      <c r="N233" s="1060"/>
      <c r="O233" s="1060"/>
      <c r="P233" s="1060"/>
      <c r="Q233" s="1060"/>
      <c r="R233" s="1547"/>
      <c r="S233" s="1060"/>
      <c r="T233" s="1060"/>
      <c r="U233" s="469"/>
      <c r="V233" s="1060"/>
      <c r="W233" s="1060"/>
      <c r="X233" s="1060"/>
      <c r="Y233" s="1060"/>
      <c r="Z233" s="1060"/>
      <c r="AA233" s="1543"/>
      <c r="AB233" s="491"/>
      <c r="AC233" s="491"/>
      <c r="AD233" s="491"/>
      <c r="AE233" s="491"/>
    </row>
    <row r="234" spans="1:31" s="6503" customFormat="1" ht="11.25" customHeight="1">
      <c r="A234" s="895"/>
      <c r="B234" s="1547"/>
      <c r="C234" s="1547"/>
      <c r="D234" s="276"/>
      <c r="K234" s="1060"/>
      <c r="L234" s="1547"/>
      <c r="M234" s="1547"/>
      <c r="N234" s="1060"/>
      <c r="O234" s="1060"/>
      <c r="P234" s="1060"/>
      <c r="Q234" s="1060"/>
      <c r="R234" s="1547"/>
      <c r="S234" s="1060"/>
      <c r="T234" s="1060"/>
      <c r="U234" s="469"/>
      <c r="V234" s="1060"/>
      <c r="W234" s="1060"/>
      <c r="X234" s="1060"/>
      <c r="Y234" s="1060"/>
      <c r="Z234" s="1060"/>
      <c r="AA234" s="1543"/>
      <c r="AB234" s="491"/>
      <c r="AC234" s="491"/>
      <c r="AD234" s="491"/>
      <c r="AE234" s="491"/>
    </row>
    <row r="235" spans="1:31" s="6503" customFormat="1" ht="11.25" customHeight="1">
      <c r="A235" s="895"/>
      <c r="B235" s="1547"/>
      <c r="C235" s="1547"/>
      <c r="D235" s="276"/>
      <c r="K235" s="1060"/>
      <c r="L235" s="1547"/>
      <c r="M235" s="1547"/>
      <c r="N235" s="1060"/>
      <c r="O235" s="1060"/>
      <c r="P235" s="1060"/>
      <c r="Q235" s="1060"/>
      <c r="R235" s="1547"/>
      <c r="S235" s="1060"/>
      <c r="T235" s="1060"/>
      <c r="U235" s="469"/>
      <c r="V235" s="1060"/>
      <c r="W235" s="1060"/>
      <c r="X235" s="1060"/>
      <c r="Y235" s="1060"/>
      <c r="Z235" s="1060"/>
      <c r="AA235" s="1543"/>
      <c r="AB235" s="491"/>
      <c r="AC235" s="491"/>
      <c r="AD235" s="491"/>
      <c r="AE235" s="491"/>
    </row>
    <row r="236" spans="1:31" s="6503" customFormat="1" ht="11.25" customHeight="1">
      <c r="A236" s="895"/>
      <c r="B236" s="1547"/>
      <c r="C236" s="1547"/>
      <c r="D236" s="276"/>
      <c r="K236" s="1060"/>
      <c r="L236" s="1547"/>
      <c r="M236" s="1547"/>
      <c r="N236" s="1060"/>
      <c r="O236" s="1060"/>
      <c r="P236" s="1060"/>
      <c r="Q236" s="1060"/>
      <c r="R236" s="1547"/>
      <c r="S236" s="1060"/>
      <c r="T236" s="1060"/>
      <c r="U236" s="469"/>
      <c r="V236" s="1060"/>
      <c r="W236" s="1060"/>
      <c r="X236" s="1060"/>
      <c r="Y236" s="1060"/>
      <c r="Z236" s="1060"/>
      <c r="AA236" s="1543"/>
      <c r="AB236" s="491"/>
      <c r="AC236" s="491"/>
      <c r="AD236" s="491"/>
      <c r="AE236" s="491"/>
    </row>
    <row r="237" spans="1:31" s="6503" customFormat="1" ht="11.25" customHeight="1">
      <c r="A237" s="895"/>
      <c r="B237" s="1547"/>
      <c r="C237" s="1547"/>
      <c r="D237" s="276"/>
      <c r="K237" s="1060"/>
      <c r="L237" s="1547"/>
      <c r="M237" s="1547"/>
      <c r="N237" s="1060"/>
      <c r="O237" s="1060"/>
      <c r="P237" s="1060"/>
      <c r="Q237" s="1060"/>
      <c r="R237" s="1547"/>
      <c r="S237" s="1060"/>
      <c r="T237" s="1060"/>
      <c r="U237" s="469"/>
      <c r="V237" s="1060"/>
      <c r="W237" s="1060"/>
      <c r="X237" s="1060"/>
      <c r="Y237" s="1060"/>
      <c r="Z237" s="1060"/>
      <c r="AA237" s="1543"/>
      <c r="AB237" s="491"/>
      <c r="AC237" s="491"/>
      <c r="AD237" s="491"/>
      <c r="AE237" s="491"/>
    </row>
    <row r="238" spans="1:31" s="6503" customFormat="1" ht="11.25" customHeight="1">
      <c r="A238" s="895"/>
      <c r="B238" s="1547"/>
      <c r="C238" s="1547"/>
      <c r="D238" s="276"/>
      <c r="K238" s="1060"/>
      <c r="L238" s="1547"/>
      <c r="M238" s="1547"/>
      <c r="N238" s="1060"/>
      <c r="O238" s="1060"/>
      <c r="P238" s="1060"/>
      <c r="Q238" s="1060"/>
      <c r="R238" s="1547"/>
      <c r="S238" s="1060"/>
      <c r="T238" s="1060"/>
      <c r="U238" s="469"/>
      <c r="V238" s="1060"/>
      <c r="W238" s="1060"/>
      <c r="X238" s="1060"/>
      <c r="Y238" s="1060"/>
      <c r="Z238" s="1060"/>
      <c r="AA238" s="1543"/>
      <c r="AB238" s="491"/>
      <c r="AC238" s="491"/>
      <c r="AD238" s="491"/>
      <c r="AE238" s="491"/>
    </row>
    <row r="239" spans="1:31" s="6503" customFormat="1" ht="11.25" customHeight="1">
      <c r="A239" s="895"/>
      <c r="B239" s="1547"/>
      <c r="C239" s="1547"/>
      <c r="D239" s="276"/>
      <c r="K239" s="1060"/>
      <c r="L239" s="1547"/>
      <c r="M239" s="1547"/>
      <c r="N239" s="1060"/>
      <c r="O239" s="1060"/>
      <c r="P239" s="1060"/>
      <c r="Q239" s="1060"/>
      <c r="R239" s="1547"/>
      <c r="S239" s="1060"/>
      <c r="T239" s="1060"/>
      <c r="U239" s="469"/>
      <c r="V239" s="1060"/>
      <c r="W239" s="1060"/>
      <c r="X239" s="1060"/>
      <c r="Y239" s="1060"/>
      <c r="Z239" s="1060"/>
      <c r="AA239" s="1543"/>
      <c r="AB239" s="491"/>
      <c r="AC239" s="491"/>
      <c r="AD239" s="491"/>
      <c r="AE239" s="491"/>
    </row>
    <row r="240" spans="1:31" s="6503" customFormat="1" ht="11.25" customHeight="1">
      <c r="A240" s="895"/>
      <c r="B240" s="1547"/>
      <c r="C240" s="1547"/>
      <c r="D240" s="276"/>
      <c r="K240" s="1060"/>
      <c r="L240" s="1547"/>
      <c r="M240" s="1547"/>
      <c r="N240" s="1060"/>
      <c r="O240" s="1060"/>
      <c r="P240" s="1060"/>
      <c r="Q240" s="1060"/>
      <c r="R240" s="1547"/>
      <c r="S240" s="1060"/>
      <c r="T240" s="1060"/>
      <c r="U240" s="469"/>
      <c r="V240" s="1060"/>
      <c r="W240" s="1060"/>
      <c r="X240" s="1060"/>
      <c r="Y240" s="1060"/>
      <c r="Z240" s="1060"/>
      <c r="AA240" s="1543"/>
      <c r="AB240" s="491"/>
      <c r="AC240" s="491"/>
      <c r="AD240" s="491"/>
      <c r="AE240" s="491"/>
    </row>
    <row r="241" spans="1:31" s="6503" customFormat="1" ht="11.25" customHeight="1">
      <c r="A241" s="895"/>
      <c r="B241" s="1547"/>
      <c r="C241" s="1547"/>
      <c r="D241" s="276"/>
      <c r="K241" s="1060"/>
      <c r="L241" s="1547"/>
      <c r="M241" s="1547"/>
      <c r="N241" s="1060"/>
      <c r="O241" s="1060"/>
      <c r="P241" s="1060"/>
      <c r="Q241" s="1060"/>
      <c r="R241" s="1547"/>
      <c r="S241" s="1060"/>
      <c r="T241" s="1060"/>
      <c r="U241" s="469"/>
      <c r="V241" s="1060"/>
      <c r="W241" s="1060"/>
      <c r="X241" s="1060"/>
      <c r="Y241" s="1060"/>
      <c r="Z241" s="1060"/>
      <c r="AA241" s="1543"/>
      <c r="AB241" s="491"/>
      <c r="AC241" s="491"/>
      <c r="AD241" s="491"/>
      <c r="AE241" s="491"/>
    </row>
    <row r="242" spans="1:31" s="6503" customFormat="1" ht="11.25" customHeight="1">
      <c r="A242" s="895"/>
      <c r="B242" s="1547"/>
      <c r="C242" s="1547"/>
      <c r="D242" s="276"/>
      <c r="K242" s="1060"/>
      <c r="L242" s="1547"/>
      <c r="M242" s="1547"/>
      <c r="N242" s="1060"/>
      <c r="O242" s="1060"/>
      <c r="P242" s="1060"/>
      <c r="Q242" s="1060"/>
      <c r="R242" s="1547"/>
      <c r="S242" s="1060"/>
      <c r="T242" s="1060"/>
      <c r="U242" s="469"/>
      <c r="V242" s="1060"/>
      <c r="W242" s="1060"/>
      <c r="X242" s="1060"/>
      <c r="Y242" s="1060"/>
      <c r="Z242" s="1060"/>
      <c r="AA242" s="1543"/>
      <c r="AB242" s="491"/>
      <c r="AC242" s="491"/>
      <c r="AD242" s="491"/>
      <c r="AE242" s="491"/>
    </row>
    <row r="243" spans="1:31" s="6503" customFormat="1" ht="11.25" customHeight="1">
      <c r="A243" s="895"/>
      <c r="B243" s="1547"/>
      <c r="C243" s="1547"/>
      <c r="D243" s="276"/>
      <c r="K243" s="1060"/>
      <c r="L243" s="1547"/>
      <c r="M243" s="1547"/>
      <c r="N243" s="1060"/>
      <c r="O243" s="1060"/>
      <c r="P243" s="1060"/>
      <c r="Q243" s="1060"/>
      <c r="R243" s="1547"/>
      <c r="S243" s="1060"/>
      <c r="T243" s="1060"/>
      <c r="U243" s="469"/>
      <c r="V243" s="1060"/>
      <c r="W243" s="1060"/>
      <c r="X243" s="1060"/>
      <c r="Y243" s="1060"/>
      <c r="Z243" s="1060"/>
      <c r="AA243" s="1543"/>
      <c r="AB243" s="491"/>
      <c r="AC243" s="491"/>
      <c r="AD243" s="491"/>
      <c r="AE243" s="491"/>
    </row>
    <row r="244" spans="1:31" s="6503" customFormat="1" ht="11.25" customHeight="1">
      <c r="A244" s="895"/>
      <c r="B244" s="1547"/>
      <c r="C244" s="1547"/>
      <c r="D244" s="276"/>
      <c r="K244" s="1060"/>
      <c r="L244" s="1547"/>
      <c r="M244" s="1547"/>
      <c r="N244" s="1060"/>
      <c r="O244" s="1060"/>
      <c r="P244" s="1060"/>
      <c r="Q244" s="1060"/>
      <c r="R244" s="1547"/>
      <c r="S244" s="1060"/>
      <c r="T244" s="1060"/>
      <c r="U244" s="469"/>
      <c r="V244" s="1060"/>
      <c r="W244" s="1060"/>
      <c r="X244" s="1060"/>
      <c r="Y244" s="1060"/>
      <c r="Z244" s="1060"/>
      <c r="AA244" s="1543"/>
      <c r="AB244" s="491"/>
      <c r="AC244" s="491"/>
      <c r="AD244" s="491"/>
      <c r="AE244" s="491"/>
    </row>
    <row r="245" spans="1:31" s="6503" customFormat="1" ht="11.25" customHeight="1">
      <c r="A245" s="895"/>
      <c r="B245" s="1547"/>
      <c r="C245" s="1547"/>
      <c r="D245" s="276"/>
      <c r="K245" s="1060"/>
      <c r="L245" s="1547"/>
      <c r="M245" s="1547"/>
      <c r="N245" s="1060"/>
      <c r="O245" s="1060"/>
      <c r="P245" s="1060"/>
      <c r="Q245" s="1060"/>
      <c r="R245" s="1547"/>
      <c r="S245" s="1060"/>
      <c r="T245" s="1060"/>
      <c r="U245" s="469"/>
      <c r="V245" s="1060"/>
      <c r="W245" s="1060"/>
      <c r="X245" s="1060"/>
      <c r="Y245" s="1060"/>
      <c r="Z245" s="1060"/>
      <c r="AA245" s="1543"/>
      <c r="AB245" s="491"/>
      <c r="AC245" s="491"/>
      <c r="AD245" s="491"/>
      <c r="AE245" s="491"/>
    </row>
    <row r="246" spans="1:31" s="6503" customFormat="1" ht="11.25" customHeight="1">
      <c r="A246" s="895"/>
      <c r="B246" s="1547"/>
      <c r="C246" s="1547"/>
      <c r="D246" s="276"/>
      <c r="K246" s="1060"/>
      <c r="L246" s="1547"/>
      <c r="M246" s="1547"/>
      <c r="N246" s="1060"/>
      <c r="O246" s="1060"/>
      <c r="P246" s="1060"/>
      <c r="Q246" s="1060"/>
      <c r="R246" s="1547"/>
      <c r="S246" s="1060"/>
      <c r="T246" s="1060"/>
      <c r="U246" s="469"/>
      <c r="V246" s="1060"/>
      <c r="W246" s="1060"/>
      <c r="X246" s="1060"/>
      <c r="Y246" s="1060"/>
      <c r="Z246" s="1060"/>
      <c r="AA246" s="1543"/>
      <c r="AB246" s="491"/>
      <c r="AC246" s="491"/>
      <c r="AD246" s="491"/>
      <c r="AE246" s="491"/>
    </row>
    <row r="247" spans="1:31" s="6503" customFormat="1" ht="11.25" customHeight="1">
      <c r="A247" s="895"/>
      <c r="B247" s="1547"/>
      <c r="C247" s="1547"/>
      <c r="D247" s="276"/>
      <c r="K247" s="1060"/>
      <c r="L247" s="1547"/>
      <c r="M247" s="1547"/>
      <c r="N247" s="1060"/>
      <c r="O247" s="1060"/>
      <c r="P247" s="1060"/>
      <c r="Q247" s="1060"/>
      <c r="R247" s="1547"/>
      <c r="S247" s="1060"/>
      <c r="T247" s="1060"/>
      <c r="U247" s="469"/>
      <c r="V247" s="1060"/>
      <c r="W247" s="1060"/>
      <c r="X247" s="1060"/>
      <c r="Y247" s="1060"/>
      <c r="Z247" s="1060"/>
      <c r="AA247" s="1543"/>
      <c r="AB247" s="491"/>
      <c r="AC247" s="491"/>
      <c r="AD247" s="491"/>
      <c r="AE247" s="491"/>
    </row>
    <row r="248" spans="1:31" s="6503" customFormat="1" ht="11.25" customHeight="1">
      <c r="A248" s="895"/>
      <c r="B248" s="1547"/>
      <c r="C248" s="1547"/>
      <c r="D248" s="276"/>
      <c r="K248" s="1060"/>
      <c r="L248" s="1547"/>
      <c r="M248" s="1547"/>
      <c r="N248" s="1060"/>
      <c r="O248" s="1060"/>
      <c r="P248" s="1060"/>
      <c r="Q248" s="1060"/>
      <c r="R248" s="1547"/>
      <c r="S248" s="1060"/>
      <c r="T248" s="1060"/>
      <c r="U248" s="469"/>
      <c r="V248" s="1060"/>
      <c r="W248" s="1060"/>
      <c r="X248" s="1060"/>
      <c r="Y248" s="1060"/>
      <c r="Z248" s="1060"/>
      <c r="AA248" s="1543"/>
      <c r="AB248" s="491"/>
      <c r="AC248" s="491"/>
      <c r="AD248" s="491"/>
      <c r="AE248" s="491"/>
    </row>
    <row r="249" spans="1:31" s="6503" customFormat="1" ht="11.25" customHeight="1">
      <c r="A249" s="895"/>
      <c r="B249" s="1547"/>
      <c r="C249" s="1547"/>
      <c r="D249" s="276"/>
      <c r="K249" s="1060"/>
      <c r="L249" s="1547"/>
      <c r="M249" s="1547"/>
      <c r="N249" s="1060"/>
      <c r="O249" s="1060"/>
      <c r="P249" s="1060"/>
      <c r="Q249" s="1060"/>
      <c r="R249" s="1547"/>
      <c r="S249" s="1060"/>
      <c r="T249" s="1060"/>
      <c r="U249" s="469"/>
      <c r="V249" s="1060"/>
      <c r="W249" s="1060"/>
      <c r="X249" s="1060"/>
      <c r="Y249" s="1060"/>
      <c r="Z249" s="1060"/>
      <c r="AA249" s="1543"/>
      <c r="AB249" s="491"/>
      <c r="AC249" s="491"/>
      <c r="AD249" s="491"/>
      <c r="AE249" s="491"/>
    </row>
    <row r="250" spans="1:31" s="6503" customFormat="1" ht="11.25" customHeight="1">
      <c r="A250" s="895"/>
      <c r="B250" s="1547"/>
      <c r="C250" s="1547"/>
      <c r="D250" s="276"/>
      <c r="K250" s="1060"/>
      <c r="L250" s="1547"/>
      <c r="M250" s="1547"/>
      <c r="N250" s="1060"/>
      <c r="O250" s="1060"/>
      <c r="P250" s="1060"/>
      <c r="Q250" s="1060"/>
      <c r="R250" s="1547"/>
      <c r="S250" s="1060"/>
      <c r="T250" s="1060"/>
      <c r="U250" s="469"/>
      <c r="V250" s="1060"/>
      <c r="W250" s="1060"/>
      <c r="X250" s="1060"/>
      <c r="Y250" s="1060"/>
      <c r="Z250" s="1060"/>
      <c r="AA250" s="1543"/>
      <c r="AB250" s="491"/>
      <c r="AC250" s="491"/>
      <c r="AD250" s="491"/>
      <c r="AE250" s="491"/>
    </row>
    <row r="251" spans="1:31" s="6503" customFormat="1" ht="11.25" customHeight="1">
      <c r="A251" s="895"/>
      <c r="B251" s="1547"/>
      <c r="C251" s="1547"/>
      <c r="D251" s="276"/>
      <c r="K251" s="1060"/>
      <c r="L251" s="1547"/>
      <c r="M251" s="1547"/>
      <c r="N251" s="1060"/>
      <c r="O251" s="1060"/>
      <c r="P251" s="1060"/>
      <c r="Q251" s="1060"/>
      <c r="R251" s="1547"/>
      <c r="S251" s="1060"/>
      <c r="T251" s="1060"/>
      <c r="U251" s="469"/>
      <c r="V251" s="1060"/>
      <c r="W251" s="1060"/>
      <c r="X251" s="1060"/>
      <c r="Y251" s="1060"/>
      <c r="Z251" s="1060"/>
      <c r="AA251" s="1543"/>
      <c r="AB251" s="491"/>
      <c r="AC251" s="491"/>
      <c r="AD251" s="491"/>
      <c r="AE251" s="491"/>
    </row>
    <row r="252" spans="1:31" s="6503" customFormat="1" ht="11.25" customHeight="1">
      <c r="A252" s="895"/>
      <c r="B252" s="1547"/>
      <c r="C252" s="1547"/>
      <c r="D252" s="276"/>
      <c r="K252" s="1060"/>
      <c r="L252" s="1547"/>
      <c r="M252" s="1547"/>
      <c r="N252" s="1060"/>
      <c r="O252" s="1060"/>
      <c r="P252" s="1060"/>
      <c r="Q252" s="1060"/>
      <c r="R252" s="1547"/>
      <c r="S252" s="1060"/>
      <c r="T252" s="1060"/>
      <c r="U252" s="469"/>
      <c r="V252" s="1060"/>
      <c r="W252" s="1060"/>
      <c r="X252" s="1060"/>
      <c r="Y252" s="1060"/>
      <c r="Z252" s="1060"/>
      <c r="AA252" s="1543"/>
      <c r="AB252" s="491"/>
      <c r="AC252" s="491"/>
      <c r="AD252" s="491"/>
      <c r="AE252" s="491"/>
    </row>
    <row r="253" spans="1:31" s="6503" customFormat="1" ht="11.25" customHeight="1">
      <c r="A253" s="895"/>
      <c r="B253" s="1547"/>
      <c r="C253" s="1547"/>
      <c r="D253" s="276"/>
      <c r="K253" s="1060"/>
      <c r="L253" s="1547"/>
      <c r="M253" s="1547"/>
      <c r="N253" s="1060"/>
      <c r="O253" s="1060"/>
      <c r="P253" s="1060"/>
      <c r="Q253" s="1060"/>
      <c r="R253" s="1547"/>
      <c r="S253" s="1060"/>
      <c r="T253" s="1060"/>
      <c r="U253" s="469"/>
      <c r="V253" s="1060"/>
      <c r="W253" s="1060"/>
      <c r="X253" s="1060"/>
      <c r="Y253" s="1060"/>
      <c r="Z253" s="1060"/>
      <c r="AA253" s="1543"/>
      <c r="AB253" s="491"/>
      <c r="AC253" s="491"/>
      <c r="AD253" s="491"/>
      <c r="AE253" s="491"/>
    </row>
    <row r="254" spans="1:31" s="6503" customFormat="1" ht="11.25" customHeight="1">
      <c r="A254" s="895"/>
      <c r="B254" s="1547"/>
      <c r="C254" s="1547"/>
      <c r="D254" s="276"/>
      <c r="K254" s="1060"/>
      <c r="L254" s="1547"/>
      <c r="M254" s="1547"/>
      <c r="N254" s="1060"/>
      <c r="O254" s="1060"/>
      <c r="P254" s="1060"/>
      <c r="Q254" s="1060"/>
      <c r="R254" s="1547"/>
      <c r="S254" s="1060"/>
      <c r="T254" s="1060"/>
      <c r="U254" s="469"/>
      <c r="V254" s="1060"/>
      <c r="W254" s="1060"/>
      <c r="X254" s="1060"/>
      <c r="Y254" s="1060"/>
      <c r="Z254" s="1060"/>
      <c r="AA254" s="1543"/>
      <c r="AB254" s="491"/>
      <c r="AC254" s="491"/>
      <c r="AD254" s="491"/>
      <c r="AE254" s="491"/>
    </row>
    <row r="255" spans="1:31" s="6503" customFormat="1" ht="11.25" customHeight="1">
      <c r="A255" s="895"/>
      <c r="B255" s="1547"/>
      <c r="C255" s="1547"/>
      <c r="D255" s="276"/>
      <c r="K255" s="1060"/>
      <c r="L255" s="1547"/>
      <c r="M255" s="1547"/>
      <c r="N255" s="1060"/>
      <c r="O255" s="1060"/>
      <c r="P255" s="1060"/>
      <c r="Q255" s="1060"/>
      <c r="R255" s="1547"/>
      <c r="S255" s="1060"/>
      <c r="T255" s="1060"/>
      <c r="U255" s="469"/>
      <c r="V255" s="1060"/>
      <c r="W255" s="1060"/>
      <c r="X255" s="1060"/>
      <c r="Y255" s="1060"/>
      <c r="Z255" s="1060"/>
      <c r="AA255" s="1543"/>
      <c r="AB255" s="491"/>
      <c r="AC255" s="491"/>
      <c r="AD255" s="491"/>
      <c r="AE255" s="491"/>
    </row>
    <row r="256" spans="1:31" s="6503" customFormat="1" ht="11.25" customHeight="1">
      <c r="A256" s="895"/>
      <c r="B256" s="1547"/>
      <c r="C256" s="1547"/>
      <c r="D256" s="276"/>
      <c r="K256" s="1060"/>
      <c r="L256" s="1547"/>
      <c r="M256" s="1547"/>
      <c r="N256" s="1060"/>
      <c r="O256" s="1060"/>
      <c r="P256" s="1060"/>
      <c r="Q256" s="1060"/>
      <c r="R256" s="1547"/>
      <c r="S256" s="1060"/>
      <c r="T256" s="1060"/>
      <c r="U256" s="469"/>
      <c r="V256" s="1060"/>
      <c r="W256" s="1060"/>
      <c r="X256" s="1060"/>
      <c r="Y256" s="1060"/>
      <c r="Z256" s="1060"/>
      <c r="AA256" s="1543"/>
      <c r="AB256" s="491"/>
      <c r="AC256" s="491"/>
      <c r="AD256" s="491"/>
      <c r="AE256" s="491"/>
    </row>
    <row r="257" spans="1:31" s="6503" customFormat="1" ht="11.25" customHeight="1">
      <c r="A257" s="895"/>
      <c r="B257" s="1547"/>
      <c r="C257" s="1547"/>
      <c r="D257" s="276"/>
      <c r="K257" s="1060"/>
      <c r="L257" s="1547"/>
      <c r="M257" s="1547"/>
      <c r="N257" s="1060"/>
      <c r="O257" s="1060"/>
      <c r="P257" s="1060"/>
      <c r="Q257" s="1060"/>
      <c r="R257" s="1547"/>
      <c r="S257" s="1060"/>
      <c r="T257" s="1060"/>
      <c r="U257" s="469"/>
      <c r="V257" s="1060"/>
      <c r="W257" s="1060"/>
      <c r="X257" s="1060"/>
      <c r="Y257" s="1060"/>
      <c r="Z257" s="1060"/>
      <c r="AA257" s="1543"/>
      <c r="AB257" s="491"/>
      <c r="AC257" s="491"/>
      <c r="AD257" s="491"/>
      <c r="AE257" s="491"/>
    </row>
    <row r="258" spans="1:31" s="6503" customFormat="1" ht="11.25" customHeight="1">
      <c r="A258" s="895"/>
      <c r="B258" s="1547"/>
      <c r="C258" s="1547"/>
      <c r="D258" s="276"/>
      <c r="K258" s="1060"/>
      <c r="L258" s="1547"/>
      <c r="M258" s="1547"/>
      <c r="N258" s="1060"/>
      <c r="O258" s="1060"/>
      <c r="P258" s="1060"/>
      <c r="Q258" s="1060"/>
      <c r="R258" s="1547"/>
      <c r="S258" s="1060"/>
      <c r="T258" s="1060"/>
      <c r="U258" s="469"/>
      <c r="V258" s="1060"/>
      <c r="W258" s="1060"/>
      <c r="X258" s="1060"/>
      <c r="Y258" s="1060"/>
      <c r="Z258" s="1060"/>
      <c r="AA258" s="1543"/>
      <c r="AB258" s="491"/>
      <c r="AC258" s="491"/>
      <c r="AD258" s="491"/>
      <c r="AE258" s="491"/>
    </row>
    <row r="259" spans="1:31" s="6503" customFormat="1" ht="11.25" customHeight="1">
      <c r="A259" s="895"/>
      <c r="B259" s="1547"/>
      <c r="C259" s="1547"/>
      <c r="D259" s="276"/>
      <c r="K259" s="1060"/>
      <c r="L259" s="1547"/>
      <c r="M259" s="1547"/>
      <c r="N259" s="1060"/>
      <c r="O259" s="1060"/>
      <c r="P259" s="1060"/>
      <c r="Q259" s="1060"/>
      <c r="R259" s="1547"/>
      <c r="S259" s="1060"/>
      <c r="T259" s="1060"/>
      <c r="U259" s="469"/>
      <c r="V259" s="1060"/>
      <c r="W259" s="1060"/>
      <c r="X259" s="1060"/>
      <c r="Y259" s="1060"/>
      <c r="Z259" s="1060"/>
      <c r="AA259" s="1543"/>
      <c r="AB259" s="491"/>
      <c r="AC259" s="491"/>
      <c r="AD259" s="491"/>
      <c r="AE259" s="491"/>
    </row>
    <row r="260" spans="1:31" s="6503" customFormat="1" ht="11.25" customHeight="1">
      <c r="A260" s="895"/>
      <c r="B260" s="1547"/>
      <c r="C260" s="1547"/>
      <c r="D260" s="276"/>
      <c r="K260" s="1060"/>
      <c r="L260" s="1547"/>
      <c r="M260" s="1547"/>
      <c r="N260" s="1060"/>
      <c r="O260" s="1060"/>
      <c r="P260" s="1060"/>
      <c r="Q260" s="1060"/>
      <c r="R260" s="1547"/>
      <c r="S260" s="1060"/>
      <c r="T260" s="1060"/>
      <c r="U260" s="469"/>
      <c r="V260" s="1060"/>
      <c r="W260" s="1060"/>
      <c r="X260" s="1060"/>
      <c r="Y260" s="1060"/>
      <c r="Z260" s="1060"/>
      <c r="AA260" s="1543"/>
      <c r="AB260" s="491"/>
      <c r="AC260" s="491"/>
      <c r="AD260" s="491"/>
      <c r="AE260" s="491"/>
    </row>
    <row r="261" spans="1:31" s="6503" customFormat="1" ht="11.25" customHeight="1">
      <c r="A261" s="895"/>
      <c r="B261" s="1547"/>
      <c r="C261" s="1547"/>
      <c r="D261" s="276"/>
      <c r="K261" s="1060"/>
      <c r="L261" s="1547"/>
      <c r="M261" s="1547"/>
      <c r="N261" s="1060"/>
      <c r="O261" s="1060"/>
      <c r="P261" s="1060"/>
      <c r="Q261" s="1060"/>
      <c r="R261" s="1547"/>
      <c r="S261" s="1060"/>
      <c r="T261" s="1060"/>
      <c r="U261" s="469"/>
      <c r="V261" s="1060"/>
      <c r="W261" s="1060"/>
      <c r="X261" s="1060"/>
      <c r="Y261" s="1060"/>
      <c r="Z261" s="1060"/>
      <c r="AA261" s="1543"/>
      <c r="AB261" s="491"/>
      <c r="AC261" s="491"/>
      <c r="AD261" s="491"/>
      <c r="AE261" s="491"/>
    </row>
    <row r="262" spans="1:31" s="6503" customFormat="1" ht="11.25" customHeight="1">
      <c r="A262" s="895"/>
      <c r="B262" s="1547"/>
      <c r="C262" s="1547"/>
      <c r="D262" s="276"/>
      <c r="K262" s="1060"/>
      <c r="L262" s="1547"/>
      <c r="M262" s="1547"/>
      <c r="N262" s="1060"/>
      <c r="O262" s="1060"/>
      <c r="P262" s="1060"/>
      <c r="Q262" s="1060"/>
      <c r="R262" s="1547"/>
      <c r="S262" s="1060"/>
      <c r="T262" s="1060"/>
      <c r="U262" s="469"/>
      <c r="V262" s="1060"/>
      <c r="W262" s="1060"/>
      <c r="X262" s="1060"/>
      <c r="Y262" s="1060"/>
      <c r="Z262" s="1060"/>
      <c r="AA262" s="1543"/>
      <c r="AB262" s="491"/>
      <c r="AC262" s="491"/>
      <c r="AD262" s="491"/>
      <c r="AE262" s="491"/>
    </row>
    <row r="263" spans="1:31" s="6503" customFormat="1" ht="11.25" customHeight="1">
      <c r="A263" s="895"/>
      <c r="B263" s="1547"/>
      <c r="C263" s="1547"/>
      <c r="D263" s="276"/>
      <c r="K263" s="1060"/>
      <c r="L263" s="1547"/>
      <c r="M263" s="1547"/>
      <c r="N263" s="1060"/>
      <c r="O263" s="1060"/>
      <c r="P263" s="1060"/>
      <c r="Q263" s="1060"/>
      <c r="R263" s="1547"/>
      <c r="S263" s="1060"/>
      <c r="T263" s="1060"/>
      <c r="U263" s="469"/>
      <c r="V263" s="1060"/>
      <c r="W263" s="1060"/>
      <c r="X263" s="1060"/>
      <c r="Y263" s="1060"/>
      <c r="Z263" s="1060"/>
      <c r="AA263" s="1543"/>
      <c r="AB263" s="491"/>
      <c r="AC263" s="491"/>
      <c r="AD263" s="491"/>
      <c r="AE263" s="491"/>
    </row>
    <row r="264" spans="1:31" s="6503" customFormat="1" ht="11.25" customHeight="1">
      <c r="A264" s="895"/>
      <c r="B264" s="1547"/>
      <c r="C264" s="1547"/>
      <c r="D264" s="276"/>
      <c r="K264" s="1060"/>
      <c r="L264" s="1547"/>
      <c r="M264" s="1547"/>
      <c r="N264" s="1060"/>
      <c r="O264" s="1060"/>
      <c r="P264" s="1060"/>
      <c r="Q264" s="1060"/>
      <c r="R264" s="1547"/>
      <c r="S264" s="1060"/>
      <c r="T264" s="1060"/>
      <c r="U264" s="469"/>
      <c r="V264" s="1060"/>
      <c r="W264" s="1060"/>
      <c r="X264" s="1060"/>
      <c r="Y264" s="1060"/>
      <c r="Z264" s="1060"/>
      <c r="AA264" s="1543"/>
      <c r="AB264" s="491"/>
      <c r="AC264" s="491"/>
      <c r="AD264" s="491"/>
      <c r="AE264" s="491"/>
    </row>
    <row r="265" spans="1:31" s="6503" customFormat="1" ht="11.25" customHeight="1">
      <c r="A265" s="895"/>
      <c r="B265" s="1547"/>
      <c r="C265" s="1547"/>
      <c r="D265" s="276"/>
      <c r="K265" s="1060"/>
      <c r="L265" s="1547"/>
      <c r="M265" s="1547"/>
      <c r="N265" s="1060"/>
      <c r="O265" s="1060"/>
      <c r="P265" s="1060"/>
      <c r="Q265" s="1060"/>
      <c r="R265" s="1547"/>
      <c r="S265" s="1060"/>
      <c r="T265" s="1060"/>
      <c r="U265" s="469"/>
      <c r="V265" s="1060"/>
      <c r="W265" s="1060"/>
      <c r="X265" s="1060"/>
      <c r="Y265" s="1060"/>
      <c r="Z265" s="1060"/>
      <c r="AA265" s="1543"/>
      <c r="AB265" s="491"/>
      <c r="AC265" s="491"/>
      <c r="AD265" s="491"/>
      <c r="AE265" s="491"/>
    </row>
    <row r="266" spans="1:31" s="6503" customFormat="1" ht="11.25" customHeight="1">
      <c r="A266" s="895"/>
      <c r="B266" s="1547"/>
      <c r="C266" s="1547"/>
      <c r="D266" s="276"/>
      <c r="K266" s="1060"/>
      <c r="L266" s="1547"/>
      <c r="M266" s="1547"/>
      <c r="N266" s="1060"/>
      <c r="O266" s="1060"/>
      <c r="P266" s="1060"/>
      <c r="Q266" s="1060"/>
      <c r="R266" s="1547"/>
      <c r="S266" s="1060"/>
      <c r="T266" s="1060"/>
      <c r="U266" s="469"/>
      <c r="V266" s="1060"/>
      <c r="W266" s="1060"/>
      <c r="X266" s="1060"/>
      <c r="Y266" s="1060"/>
      <c r="Z266" s="1060"/>
      <c r="AA266" s="1543"/>
      <c r="AB266" s="491"/>
      <c r="AC266" s="491"/>
      <c r="AD266" s="491"/>
      <c r="AE266" s="491"/>
    </row>
    <row r="267" spans="1:31" s="6503" customFormat="1" ht="11.25" customHeight="1">
      <c r="A267" s="895"/>
      <c r="B267" s="1547"/>
      <c r="C267" s="1547"/>
      <c r="D267" s="276"/>
      <c r="K267" s="1060"/>
      <c r="L267" s="1547"/>
      <c r="M267" s="1547"/>
      <c r="N267" s="1060"/>
      <c r="O267" s="1060"/>
      <c r="P267" s="1060"/>
      <c r="Q267" s="1060"/>
      <c r="R267" s="1547"/>
      <c r="S267" s="1060"/>
      <c r="T267" s="1060"/>
      <c r="U267" s="469"/>
      <c r="V267" s="1060"/>
      <c r="W267" s="1060"/>
      <c r="X267" s="1060"/>
      <c r="Y267" s="1060"/>
      <c r="Z267" s="1060"/>
      <c r="AA267" s="1543"/>
      <c r="AB267" s="491"/>
      <c r="AC267" s="491"/>
      <c r="AD267" s="491"/>
      <c r="AE267" s="491"/>
    </row>
    <row r="268" spans="1:31" s="6503" customFormat="1" ht="11.25" customHeight="1">
      <c r="A268" s="895"/>
      <c r="B268" s="1547"/>
      <c r="C268" s="1547"/>
      <c r="D268" s="276"/>
      <c r="K268" s="1060"/>
      <c r="L268" s="1547"/>
      <c r="M268" s="1547"/>
      <c r="N268" s="1060"/>
      <c r="O268" s="1060"/>
      <c r="P268" s="1060"/>
      <c r="Q268" s="1060"/>
      <c r="R268" s="1547"/>
      <c r="S268" s="1060"/>
      <c r="T268" s="1060"/>
      <c r="U268" s="469"/>
      <c r="V268" s="1060"/>
      <c r="W268" s="1060"/>
      <c r="X268" s="1060"/>
      <c r="Y268" s="1060"/>
      <c r="Z268" s="1060"/>
      <c r="AA268" s="1543"/>
      <c r="AB268" s="491"/>
      <c r="AC268" s="491"/>
      <c r="AD268" s="491"/>
      <c r="AE268" s="491"/>
    </row>
    <row r="269" spans="1:31" s="6503" customFormat="1" ht="11.25" customHeight="1">
      <c r="A269" s="895"/>
      <c r="B269" s="1547"/>
      <c r="C269" s="1547"/>
      <c r="D269" s="276"/>
      <c r="K269" s="1060"/>
      <c r="L269" s="1547"/>
      <c r="M269" s="1547"/>
      <c r="N269" s="1060"/>
      <c r="O269" s="1060"/>
      <c r="P269" s="1060"/>
      <c r="Q269" s="1060"/>
      <c r="R269" s="1547"/>
      <c r="S269" s="1060"/>
      <c r="T269" s="1060"/>
      <c r="U269" s="469"/>
      <c r="V269" s="1060"/>
      <c r="W269" s="1060"/>
      <c r="X269" s="1060"/>
      <c r="Y269" s="1060"/>
      <c r="Z269" s="1060"/>
      <c r="AA269" s="1543"/>
      <c r="AB269" s="491"/>
      <c r="AC269" s="491"/>
      <c r="AD269" s="491"/>
      <c r="AE269" s="491"/>
    </row>
    <row r="270" spans="1:31" s="6503" customFormat="1" ht="11.25" customHeight="1">
      <c r="A270" s="895"/>
      <c r="B270" s="1547"/>
      <c r="C270" s="1547"/>
      <c r="D270" s="276"/>
      <c r="K270" s="1060"/>
      <c r="L270" s="1547"/>
      <c r="M270" s="1547"/>
      <c r="N270" s="1060"/>
      <c r="O270" s="1060"/>
      <c r="P270" s="1060"/>
      <c r="Q270" s="1060"/>
      <c r="R270" s="1547"/>
      <c r="S270" s="1060"/>
      <c r="T270" s="1060"/>
      <c r="U270" s="469"/>
      <c r="V270" s="1060"/>
      <c r="W270" s="1060"/>
      <c r="X270" s="1060"/>
      <c r="Y270" s="1060"/>
      <c r="Z270" s="1060"/>
      <c r="AA270" s="1543"/>
      <c r="AB270" s="491"/>
      <c r="AC270" s="491"/>
      <c r="AD270" s="491"/>
      <c r="AE270" s="491"/>
    </row>
    <row r="271" spans="1:31" s="6503" customFormat="1" ht="11.25" customHeight="1">
      <c r="A271" s="895"/>
      <c r="B271" s="1547"/>
      <c r="C271" s="1547"/>
      <c r="D271" s="276"/>
      <c r="K271" s="1060"/>
      <c r="L271" s="1547"/>
      <c r="M271" s="1547"/>
      <c r="N271" s="1060"/>
      <c r="O271" s="1060"/>
      <c r="P271" s="1060"/>
      <c r="Q271" s="1060"/>
      <c r="R271" s="1547"/>
      <c r="S271" s="1060"/>
      <c r="T271" s="1060"/>
      <c r="U271" s="469"/>
      <c r="V271" s="1060"/>
      <c r="W271" s="1060"/>
      <c r="X271" s="1060"/>
      <c r="Y271" s="1060"/>
      <c r="Z271" s="1060"/>
      <c r="AA271" s="1543"/>
      <c r="AB271" s="491"/>
      <c r="AC271" s="491"/>
      <c r="AD271" s="491"/>
      <c r="AE271" s="491"/>
    </row>
    <row r="272" spans="1:31" s="6503" customFormat="1" ht="11.25" customHeight="1">
      <c r="A272" s="895"/>
      <c r="B272" s="1547"/>
      <c r="C272" s="1547"/>
      <c r="D272" s="276"/>
      <c r="K272" s="1060"/>
      <c r="L272" s="1547"/>
      <c r="M272" s="1547"/>
      <c r="N272" s="1060"/>
      <c r="O272" s="1060"/>
      <c r="P272" s="1060"/>
      <c r="Q272" s="1060"/>
      <c r="R272" s="1547"/>
      <c r="S272" s="1060"/>
      <c r="T272" s="1060"/>
      <c r="U272" s="469"/>
      <c r="V272" s="1060"/>
      <c r="W272" s="1060"/>
      <c r="X272" s="1060"/>
      <c r="Y272" s="1060"/>
      <c r="Z272" s="1060"/>
      <c r="AA272" s="1543"/>
      <c r="AB272" s="491"/>
      <c r="AC272" s="491"/>
      <c r="AD272" s="491"/>
      <c r="AE272" s="491"/>
    </row>
    <row r="273" spans="1:31" s="6503" customFormat="1" ht="11.25" customHeight="1">
      <c r="A273" s="895"/>
      <c r="B273" s="1547"/>
      <c r="C273" s="1547"/>
      <c r="D273" s="276"/>
      <c r="K273" s="1060"/>
      <c r="L273" s="1547"/>
      <c r="M273" s="1547"/>
      <c r="N273" s="1060"/>
      <c r="O273" s="1060"/>
      <c r="P273" s="1060"/>
      <c r="Q273" s="1060"/>
      <c r="R273" s="1547"/>
      <c r="S273" s="1060"/>
      <c r="T273" s="1060"/>
      <c r="U273" s="469"/>
      <c r="V273" s="1060"/>
      <c r="W273" s="1060"/>
      <c r="X273" s="1060"/>
      <c r="Y273" s="1060"/>
      <c r="Z273" s="1060"/>
      <c r="AA273" s="1543"/>
      <c r="AB273" s="491"/>
      <c r="AC273" s="491"/>
      <c r="AD273" s="491"/>
      <c r="AE273" s="491"/>
    </row>
    <row r="274" spans="1:31" s="6503" customFormat="1" ht="11.25" customHeight="1">
      <c r="A274" s="895"/>
      <c r="B274" s="1547"/>
      <c r="C274" s="1547"/>
      <c r="D274" s="276"/>
      <c r="K274" s="1060"/>
      <c r="L274" s="1547"/>
      <c r="M274" s="1547"/>
      <c r="N274" s="1060"/>
      <c r="O274" s="1060"/>
      <c r="P274" s="1060"/>
      <c r="Q274" s="1060"/>
      <c r="R274" s="1547"/>
      <c r="S274" s="1060"/>
      <c r="T274" s="1060"/>
      <c r="U274" s="469"/>
      <c r="V274" s="1060"/>
      <c r="W274" s="1060"/>
      <c r="X274" s="1060"/>
      <c r="Y274" s="1060"/>
      <c r="Z274" s="1060"/>
      <c r="AA274" s="1543"/>
      <c r="AB274" s="491"/>
      <c r="AC274" s="491"/>
      <c r="AD274" s="491"/>
      <c r="AE274" s="491"/>
    </row>
    <row r="275" spans="1:31" s="6503" customFormat="1" ht="11.25" customHeight="1">
      <c r="A275" s="895"/>
      <c r="B275" s="1547"/>
      <c r="C275" s="1547"/>
      <c r="D275" s="276"/>
      <c r="K275" s="1060"/>
      <c r="L275" s="1547"/>
      <c r="M275" s="1547"/>
      <c r="N275" s="1060"/>
      <c r="O275" s="1060"/>
      <c r="P275" s="1060"/>
      <c r="Q275" s="1060"/>
      <c r="R275" s="1547"/>
      <c r="S275" s="1060"/>
      <c r="T275" s="1060"/>
      <c r="U275" s="469"/>
      <c r="V275" s="1060"/>
      <c r="W275" s="1060"/>
      <c r="X275" s="1060"/>
      <c r="Y275" s="1060"/>
      <c r="Z275" s="1060"/>
      <c r="AA275" s="1543"/>
      <c r="AB275" s="491"/>
      <c r="AC275" s="491"/>
      <c r="AD275" s="491"/>
      <c r="AE275" s="491"/>
    </row>
    <row r="276" spans="1:31" s="6503" customFormat="1" ht="11.25" customHeight="1">
      <c r="A276" s="895"/>
      <c r="B276" s="1547"/>
      <c r="C276" s="1547"/>
      <c r="D276" s="276"/>
      <c r="K276" s="1060"/>
      <c r="L276" s="1547"/>
      <c r="M276" s="1547"/>
      <c r="N276" s="1060"/>
      <c r="O276" s="1060"/>
      <c r="P276" s="1060"/>
      <c r="Q276" s="1060"/>
      <c r="R276" s="1547"/>
      <c r="S276" s="1060"/>
      <c r="T276" s="1060"/>
      <c r="U276" s="469"/>
      <c r="V276" s="1060"/>
      <c r="W276" s="1060"/>
      <c r="X276" s="1060"/>
      <c r="Y276" s="1060"/>
      <c r="Z276" s="1060"/>
      <c r="AA276" s="1543"/>
      <c r="AB276" s="491"/>
      <c r="AC276" s="491"/>
      <c r="AD276" s="491"/>
      <c r="AE276" s="491"/>
    </row>
    <row r="277" spans="1:31" s="6503" customFormat="1" ht="11.25" customHeight="1">
      <c r="A277" s="895"/>
      <c r="B277" s="1547"/>
      <c r="C277" s="1547"/>
      <c r="D277" s="276"/>
      <c r="K277" s="1060"/>
      <c r="L277" s="1547"/>
      <c r="M277" s="1547"/>
      <c r="N277" s="1060"/>
      <c r="O277" s="1060"/>
      <c r="P277" s="1060"/>
      <c r="Q277" s="1060"/>
      <c r="R277" s="1547"/>
      <c r="S277" s="1060"/>
      <c r="T277" s="1060"/>
      <c r="U277" s="469"/>
      <c r="V277" s="1060"/>
      <c r="W277" s="1060"/>
      <c r="X277" s="1060"/>
      <c r="Y277" s="1060"/>
      <c r="Z277" s="1060"/>
      <c r="AA277" s="1543"/>
      <c r="AB277" s="491"/>
      <c r="AC277" s="491"/>
      <c r="AD277" s="491"/>
      <c r="AE277" s="491"/>
    </row>
    <row r="278" spans="1:31" s="6503" customFormat="1" ht="11.25" customHeight="1">
      <c r="A278" s="895"/>
      <c r="B278" s="1547"/>
      <c r="C278" s="1547"/>
      <c r="D278" s="276"/>
      <c r="K278" s="1060"/>
      <c r="L278" s="1547"/>
      <c r="M278" s="1547"/>
      <c r="N278" s="1060"/>
      <c r="O278" s="1060"/>
      <c r="P278" s="1060"/>
      <c r="Q278" s="1060"/>
      <c r="R278" s="1547"/>
      <c r="S278" s="1060"/>
      <c r="T278" s="1060"/>
      <c r="U278" s="469"/>
      <c r="V278" s="1060"/>
      <c r="W278" s="1060"/>
      <c r="X278" s="1060"/>
      <c r="Y278" s="1060"/>
      <c r="Z278" s="1060"/>
      <c r="AA278" s="1543"/>
      <c r="AB278" s="491"/>
      <c r="AC278" s="491"/>
      <c r="AD278" s="491"/>
      <c r="AE278" s="491"/>
    </row>
    <row r="279" spans="1:31" s="6503" customFormat="1" ht="11.25" customHeight="1">
      <c r="A279" s="895"/>
      <c r="B279" s="1547"/>
      <c r="C279" s="1547"/>
      <c r="D279" s="276"/>
      <c r="K279" s="1060"/>
      <c r="L279" s="1547"/>
      <c r="M279" s="1547"/>
      <c r="N279" s="1060"/>
      <c r="O279" s="1060"/>
      <c r="P279" s="1060"/>
      <c r="Q279" s="1060"/>
      <c r="R279" s="1547"/>
      <c r="S279" s="1060"/>
      <c r="T279" s="1060"/>
      <c r="U279" s="469"/>
      <c r="V279" s="1060"/>
      <c r="W279" s="1060"/>
      <c r="X279" s="1060"/>
      <c r="Y279" s="1060"/>
      <c r="Z279" s="1060"/>
      <c r="AA279" s="1543"/>
      <c r="AB279" s="491"/>
      <c r="AC279" s="491"/>
      <c r="AD279" s="491"/>
      <c r="AE279" s="491"/>
    </row>
    <row r="280" spans="1:31" s="6503" customFormat="1" ht="11.25" customHeight="1">
      <c r="A280" s="895"/>
      <c r="B280" s="1547"/>
      <c r="C280" s="1547"/>
      <c r="D280" s="276"/>
      <c r="K280" s="1060"/>
      <c r="L280" s="1547"/>
      <c r="M280" s="1547"/>
      <c r="N280" s="1060"/>
      <c r="O280" s="1060"/>
      <c r="P280" s="1060"/>
      <c r="Q280" s="1060"/>
      <c r="R280" s="1547"/>
      <c r="S280" s="1060"/>
      <c r="T280" s="1060"/>
      <c r="U280" s="469"/>
      <c r="V280" s="1060"/>
      <c r="W280" s="1060"/>
      <c r="X280" s="1060"/>
      <c r="Y280" s="1060"/>
      <c r="Z280" s="1060"/>
      <c r="AA280" s="1543"/>
      <c r="AB280" s="491"/>
      <c r="AC280" s="491"/>
      <c r="AD280" s="491"/>
      <c r="AE280" s="491"/>
    </row>
    <row r="281" spans="1:31" s="6503" customFormat="1" ht="11.25" customHeight="1">
      <c r="A281" s="895"/>
      <c r="B281" s="1547"/>
      <c r="C281" s="1547"/>
      <c r="D281" s="276"/>
      <c r="K281" s="1060"/>
      <c r="L281" s="1547"/>
      <c r="M281" s="1547"/>
      <c r="N281" s="1060"/>
      <c r="O281" s="1060"/>
      <c r="P281" s="1060"/>
      <c r="Q281" s="1060"/>
      <c r="R281" s="1547"/>
      <c r="S281" s="1060"/>
      <c r="T281" s="1060"/>
      <c r="U281" s="469"/>
      <c r="V281" s="1060"/>
      <c r="W281" s="1060"/>
      <c r="X281" s="1060"/>
      <c r="Y281" s="1060"/>
      <c r="Z281" s="1060"/>
      <c r="AA281" s="1543"/>
      <c r="AB281" s="491"/>
      <c r="AC281" s="491"/>
      <c r="AD281" s="491"/>
      <c r="AE281" s="491"/>
    </row>
    <row r="282" spans="1:31" s="6503" customFormat="1" ht="11.25" customHeight="1">
      <c r="A282" s="895"/>
      <c r="B282" s="1547"/>
      <c r="C282" s="1547"/>
      <c r="D282" s="276"/>
      <c r="K282" s="1060"/>
      <c r="L282" s="1547"/>
      <c r="M282" s="1547"/>
      <c r="N282" s="1060"/>
      <c r="O282" s="1060"/>
      <c r="P282" s="1060"/>
      <c r="Q282" s="1060"/>
      <c r="R282" s="1547"/>
      <c r="S282" s="1060"/>
      <c r="T282" s="1060"/>
      <c r="U282" s="469"/>
      <c r="V282" s="1060"/>
      <c r="W282" s="1060"/>
      <c r="X282" s="1060"/>
      <c r="Y282" s="1060"/>
      <c r="Z282" s="1060"/>
      <c r="AA282" s="1543"/>
      <c r="AB282" s="491"/>
      <c r="AC282" s="491"/>
      <c r="AD282" s="491"/>
      <c r="AE282" s="491"/>
    </row>
    <row r="283" spans="1:31" s="6503" customFormat="1" ht="11.25" customHeight="1">
      <c r="A283" s="895"/>
      <c r="B283" s="1547"/>
      <c r="C283" s="1547"/>
      <c r="D283" s="276"/>
      <c r="K283" s="1060"/>
      <c r="L283" s="1547"/>
      <c r="M283" s="1547"/>
      <c r="N283" s="1060"/>
      <c r="O283" s="1060"/>
      <c r="P283" s="1060"/>
      <c r="Q283" s="1060"/>
      <c r="R283" s="1547"/>
      <c r="S283" s="1060"/>
      <c r="T283" s="1060"/>
      <c r="U283" s="469"/>
      <c r="V283" s="1060"/>
      <c r="W283" s="1060"/>
      <c r="X283" s="1060"/>
      <c r="Y283" s="1060"/>
      <c r="Z283" s="1060"/>
      <c r="AA283" s="1543"/>
      <c r="AB283" s="491"/>
      <c r="AC283" s="491"/>
      <c r="AD283" s="491"/>
      <c r="AE283" s="491"/>
    </row>
    <row r="284" spans="1:31" s="6503" customFormat="1" ht="11.25" customHeight="1">
      <c r="A284" s="895"/>
      <c r="B284" s="1547"/>
      <c r="C284" s="1547"/>
      <c r="D284" s="276"/>
      <c r="K284" s="1060"/>
      <c r="L284" s="1547"/>
      <c r="M284" s="1547"/>
      <c r="N284" s="1060"/>
      <c r="O284" s="1060"/>
      <c r="P284" s="1060"/>
      <c r="Q284" s="1060"/>
      <c r="R284" s="1547"/>
      <c r="S284" s="1060"/>
      <c r="T284" s="1060"/>
      <c r="U284" s="469"/>
      <c r="V284" s="1060"/>
      <c r="W284" s="1060"/>
      <c r="X284" s="1060"/>
      <c r="Y284" s="1060"/>
      <c r="Z284" s="1060"/>
      <c r="AA284" s="1543"/>
      <c r="AB284" s="491"/>
      <c r="AC284" s="491"/>
      <c r="AD284" s="491"/>
      <c r="AE284" s="491"/>
    </row>
    <row r="285" spans="1:31" s="6503" customFormat="1" ht="11.25" customHeight="1">
      <c r="A285" s="895"/>
      <c r="B285" s="1547"/>
      <c r="C285" s="1547"/>
      <c r="D285" s="276"/>
      <c r="K285" s="1060"/>
      <c r="L285" s="1547"/>
      <c r="M285" s="1547"/>
      <c r="N285" s="1060"/>
      <c r="O285" s="1060"/>
      <c r="P285" s="1060"/>
      <c r="Q285" s="1060"/>
      <c r="R285" s="1547"/>
      <c r="S285" s="1060"/>
      <c r="T285" s="1060"/>
      <c r="U285" s="469"/>
      <c r="V285" s="1060"/>
      <c r="W285" s="1060"/>
      <c r="X285" s="1060"/>
      <c r="Y285" s="1060"/>
      <c r="Z285" s="1060"/>
      <c r="AA285" s="1543"/>
      <c r="AB285" s="491"/>
      <c r="AC285" s="491"/>
      <c r="AD285" s="491"/>
      <c r="AE285" s="491"/>
    </row>
    <row r="286" spans="1:31" s="6503" customFormat="1" ht="11.25" customHeight="1">
      <c r="A286" s="895"/>
      <c r="B286" s="1547"/>
      <c r="C286" s="1547"/>
      <c r="D286" s="276"/>
      <c r="K286" s="1060"/>
      <c r="L286" s="1547"/>
      <c r="M286" s="1547"/>
      <c r="N286" s="1060"/>
      <c r="O286" s="1060"/>
      <c r="P286" s="1060"/>
      <c r="Q286" s="1060"/>
      <c r="R286" s="1547"/>
      <c r="S286" s="1060"/>
      <c r="T286" s="1060"/>
      <c r="U286" s="469"/>
      <c r="V286" s="1060"/>
      <c r="W286" s="1060"/>
      <c r="X286" s="1060"/>
      <c r="Y286" s="1060"/>
      <c r="Z286" s="1060"/>
      <c r="AA286" s="1543"/>
      <c r="AB286" s="491"/>
      <c r="AC286" s="491"/>
      <c r="AD286" s="491"/>
      <c r="AE286" s="491"/>
    </row>
    <row r="287" spans="1:31" s="6503" customFormat="1" ht="11.25" customHeight="1">
      <c r="A287" s="895"/>
      <c r="B287" s="1547"/>
      <c r="C287" s="1547"/>
      <c r="D287" s="276"/>
      <c r="K287" s="1060"/>
      <c r="L287" s="1547"/>
      <c r="M287" s="1547"/>
      <c r="N287" s="1060"/>
      <c r="O287" s="1060"/>
      <c r="P287" s="1060"/>
      <c r="Q287" s="1060"/>
      <c r="R287" s="1547"/>
      <c r="S287" s="1060"/>
      <c r="T287" s="1060"/>
      <c r="U287" s="469"/>
      <c r="V287" s="1060"/>
      <c r="W287" s="1060"/>
      <c r="X287" s="1060"/>
      <c r="Y287" s="1060"/>
      <c r="Z287" s="1060"/>
      <c r="AA287" s="1543"/>
      <c r="AB287" s="491"/>
      <c r="AC287" s="491"/>
      <c r="AD287" s="491"/>
      <c r="AE287" s="491"/>
    </row>
    <row r="288" spans="1:31" s="6503" customFormat="1" ht="11.25" customHeight="1">
      <c r="A288" s="895"/>
      <c r="B288" s="1547"/>
      <c r="C288" s="1547"/>
      <c r="D288" s="276"/>
      <c r="K288" s="1060"/>
      <c r="L288" s="1547"/>
      <c r="M288" s="1547"/>
      <c r="N288" s="1060"/>
      <c r="O288" s="1060"/>
      <c r="P288" s="1060"/>
      <c r="Q288" s="1060"/>
      <c r="R288" s="1547"/>
      <c r="S288" s="1060"/>
      <c r="T288" s="1060"/>
      <c r="U288" s="469"/>
      <c r="V288" s="1060"/>
      <c r="W288" s="1060"/>
      <c r="X288" s="1060"/>
      <c r="Y288" s="1060"/>
      <c r="Z288" s="1060"/>
      <c r="AA288" s="1543"/>
      <c r="AB288" s="491"/>
      <c r="AC288" s="491"/>
      <c r="AD288" s="491"/>
      <c r="AE288" s="491"/>
    </row>
    <row r="292" spans="1:31" ht="11.25" customHeight="1">
      <c r="A292" s="898"/>
      <c r="B292" s="1542"/>
      <c r="D292" s="1542"/>
      <c r="K292" s="1542"/>
      <c r="N292" s="1542"/>
      <c r="O292" s="1542"/>
      <c r="P292" s="1542"/>
      <c r="Q292" s="1542"/>
      <c r="S292" s="1542"/>
      <c r="T292" s="1542"/>
      <c r="U292" s="1542"/>
      <c r="V292" s="1542"/>
      <c r="W292" s="1542"/>
      <c r="X292" s="1542"/>
      <c r="Y292" s="1542"/>
      <c r="Z292" s="1542"/>
      <c r="AA292" s="1542"/>
      <c r="AB292" s="1542"/>
      <c r="AC292" s="1542"/>
      <c r="AD292" s="1542"/>
      <c r="AE292" s="1542"/>
    </row>
    <row r="293" spans="1:31" ht="11.25" customHeight="1">
      <c r="A293" s="898"/>
      <c r="B293" s="1542"/>
      <c r="D293" s="1542"/>
      <c r="K293" s="1542"/>
      <c r="N293" s="1542"/>
      <c r="O293" s="1542"/>
      <c r="P293" s="1542"/>
      <c r="Q293" s="1542"/>
      <c r="S293" s="1542"/>
      <c r="T293" s="1542"/>
      <c r="U293" s="1542"/>
      <c r="V293" s="1542"/>
      <c r="W293" s="1542"/>
      <c r="X293" s="1542"/>
      <c r="Y293" s="1542"/>
      <c r="Z293" s="1542"/>
      <c r="AA293" s="1542"/>
      <c r="AB293" s="1542"/>
      <c r="AC293" s="1542"/>
      <c r="AD293" s="1542"/>
      <c r="AE293" s="1542"/>
    </row>
    <row r="294" spans="1:31" ht="11.25" customHeight="1">
      <c r="A294" s="898"/>
      <c r="B294" s="1542"/>
      <c r="D294" s="1542"/>
      <c r="K294" s="1542"/>
      <c r="N294" s="1542"/>
      <c r="O294" s="1542"/>
      <c r="P294" s="1542"/>
      <c r="Q294" s="1542"/>
      <c r="S294" s="1542"/>
      <c r="T294" s="1542"/>
      <c r="U294" s="1542"/>
      <c r="V294" s="1542"/>
      <c r="W294" s="1542"/>
      <c r="X294" s="1542"/>
      <c r="Y294" s="1542"/>
      <c r="Z294" s="1542"/>
      <c r="AA294" s="1542"/>
      <c r="AB294" s="1542"/>
      <c r="AC294" s="1542"/>
      <c r="AD294" s="1542"/>
      <c r="AE294" s="1542"/>
    </row>
    <row r="295" spans="1:31" ht="11.25" customHeight="1">
      <c r="A295" s="898"/>
      <c r="B295" s="1542"/>
      <c r="D295" s="1542"/>
      <c r="K295" s="1542"/>
      <c r="N295" s="1542"/>
      <c r="O295" s="1542"/>
      <c r="P295" s="1542"/>
      <c r="Q295" s="1542"/>
      <c r="S295" s="1542"/>
      <c r="T295" s="1542"/>
      <c r="U295" s="1542"/>
      <c r="V295" s="1542"/>
      <c r="W295" s="1542"/>
      <c r="X295" s="1542"/>
      <c r="Y295" s="1542"/>
      <c r="Z295" s="1542"/>
      <c r="AA295" s="1542"/>
      <c r="AB295" s="1542"/>
      <c r="AC295" s="1542"/>
      <c r="AD295" s="1542"/>
      <c r="AE295" s="1542"/>
    </row>
    <row r="296" spans="1:31" ht="11.25" customHeight="1">
      <c r="A296" s="898"/>
      <c r="B296" s="1542"/>
      <c r="D296" s="1542"/>
      <c r="K296" s="1542"/>
      <c r="N296" s="1542"/>
      <c r="O296" s="1542"/>
      <c r="P296" s="1542"/>
      <c r="Q296" s="1542"/>
      <c r="S296" s="1542"/>
      <c r="T296" s="1542"/>
      <c r="U296" s="1542"/>
      <c r="V296" s="1542"/>
      <c r="W296" s="1542"/>
      <c r="X296" s="1542"/>
      <c r="Y296" s="1542"/>
      <c r="Z296" s="1542"/>
      <c r="AA296" s="1542"/>
      <c r="AB296" s="1542"/>
      <c r="AC296" s="1542"/>
      <c r="AD296" s="1542"/>
      <c r="AE296" s="1542"/>
    </row>
    <row r="297" spans="1:31" ht="11.25" customHeight="1">
      <c r="A297" s="898"/>
      <c r="B297" s="1542"/>
      <c r="D297" s="1542"/>
      <c r="K297" s="1542"/>
      <c r="N297" s="1542"/>
      <c r="O297" s="1542"/>
      <c r="P297" s="1542"/>
      <c r="Q297" s="1542"/>
      <c r="S297" s="1542"/>
      <c r="T297" s="1542"/>
      <c r="U297" s="1542"/>
      <c r="V297" s="1542"/>
      <c r="W297" s="1542"/>
      <c r="X297" s="1542"/>
      <c r="Y297" s="1542"/>
      <c r="Z297" s="1542"/>
      <c r="AA297" s="1542"/>
      <c r="AB297" s="1542"/>
      <c r="AC297" s="1542"/>
      <c r="AD297" s="1542"/>
      <c r="AE297" s="1542"/>
    </row>
    <row r="298" spans="1:31" ht="11.25" customHeight="1">
      <c r="A298" s="898"/>
      <c r="B298" s="1542"/>
      <c r="D298" s="1542"/>
      <c r="K298" s="1542"/>
      <c r="N298" s="1542"/>
      <c r="O298" s="1542"/>
      <c r="P298" s="1542"/>
      <c r="Q298" s="1542"/>
      <c r="S298" s="1542"/>
      <c r="T298" s="1542"/>
      <c r="U298" s="1542"/>
      <c r="V298" s="1542"/>
      <c r="W298" s="1542"/>
      <c r="X298" s="1542"/>
      <c r="Y298" s="1542"/>
      <c r="Z298" s="1542"/>
      <c r="AA298" s="1542"/>
      <c r="AB298" s="1542"/>
      <c r="AC298" s="1542"/>
      <c r="AD298" s="1542"/>
      <c r="AE298" s="1542"/>
    </row>
    <row r="299" spans="1:31" ht="11.25" customHeight="1">
      <c r="A299" s="898"/>
      <c r="B299" s="1542"/>
      <c r="D299" s="1542"/>
      <c r="K299" s="1542"/>
      <c r="N299" s="1542"/>
      <c r="O299" s="1542"/>
      <c r="P299" s="1542"/>
      <c r="Q299" s="1542"/>
      <c r="S299" s="1542"/>
      <c r="T299" s="1542"/>
      <c r="U299" s="1542"/>
      <c r="V299" s="1542"/>
      <c r="W299" s="1542"/>
      <c r="X299" s="1542"/>
      <c r="Y299" s="1542"/>
      <c r="Z299" s="1542"/>
      <c r="AA299" s="1542"/>
      <c r="AB299" s="1542"/>
      <c r="AC299" s="1542"/>
      <c r="AD299" s="1542"/>
      <c r="AE299" s="1542"/>
    </row>
    <row r="300" spans="1:31" ht="11.25" customHeight="1">
      <c r="A300" s="898"/>
      <c r="B300" s="1542"/>
      <c r="D300" s="1542"/>
      <c r="K300" s="1542"/>
      <c r="N300" s="1542"/>
      <c r="O300" s="1542"/>
      <c r="P300" s="1542"/>
      <c r="Q300" s="1542"/>
      <c r="S300" s="1542"/>
      <c r="T300" s="1542"/>
      <c r="U300" s="1542"/>
      <c r="V300" s="1542"/>
      <c r="W300" s="1542"/>
      <c r="X300" s="1542"/>
      <c r="Y300" s="1542"/>
      <c r="Z300" s="1542"/>
      <c r="AA300" s="1542"/>
      <c r="AB300" s="1542"/>
      <c r="AC300" s="1542"/>
      <c r="AD300" s="1542"/>
      <c r="AE300" s="1542"/>
    </row>
    <row r="301" spans="1:31" ht="11.25" customHeight="1">
      <c r="A301" s="898"/>
      <c r="B301" s="1542"/>
      <c r="D301" s="1542"/>
      <c r="K301" s="1542"/>
      <c r="N301" s="1542"/>
      <c r="O301" s="1542"/>
      <c r="P301" s="1542"/>
      <c r="Q301" s="1542"/>
      <c r="S301" s="1542"/>
      <c r="T301" s="1542"/>
      <c r="U301" s="1542"/>
      <c r="V301" s="1542"/>
      <c r="W301" s="1542"/>
      <c r="X301" s="1542"/>
      <c r="Y301" s="1542"/>
      <c r="Z301" s="1542"/>
      <c r="AA301" s="1542"/>
      <c r="AB301" s="1542"/>
      <c r="AC301" s="1542"/>
      <c r="AD301" s="1542"/>
      <c r="AE301" s="1542"/>
    </row>
    <row r="302" spans="1:31" ht="11.25" customHeight="1">
      <c r="A302" s="898"/>
      <c r="B302" s="1542"/>
      <c r="D302" s="1542"/>
      <c r="K302" s="1542"/>
      <c r="N302" s="1542"/>
      <c r="O302" s="1542"/>
      <c r="P302" s="1542"/>
      <c r="Q302" s="1542"/>
      <c r="S302" s="1542"/>
      <c r="T302" s="1542"/>
      <c r="U302" s="1542"/>
      <c r="V302" s="1542"/>
      <c r="W302" s="1542"/>
      <c r="X302" s="1542"/>
      <c r="Y302" s="1542"/>
      <c r="Z302" s="1542"/>
      <c r="AA302" s="1542"/>
      <c r="AB302" s="1542"/>
      <c r="AC302" s="1542"/>
      <c r="AD302" s="1542"/>
      <c r="AE302" s="154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6508" hidden="1" customWidth="1"/>
    <col min="2" max="2" width="17" style="2057" hidden="1" customWidth="1"/>
    <col min="3" max="3" width="3.7109375" style="2059" customWidth="1"/>
    <col min="4" max="4" width="1.85546875" style="2059" hidden="1" customWidth="1"/>
    <col min="5" max="6" width="7.7109375" style="2059" customWidth="1"/>
    <col min="7" max="7" width="29.7109375" style="2059" customWidth="1"/>
    <col min="8" max="8" width="3.7109375" style="2059" customWidth="1"/>
    <col min="9" max="9" width="5.42578125" style="2059" customWidth="1"/>
    <col min="10" max="10" width="24.5703125" style="2059" customWidth="1"/>
    <col min="11" max="11" width="24.42578125" style="2059" customWidth="1"/>
    <col min="12" max="12" width="3.7109375" style="2059" customWidth="1"/>
    <col min="13" max="13" width="6.28515625" style="2059" customWidth="1"/>
    <col min="14" max="14" width="25.85546875" style="2059" customWidth="1"/>
    <col min="15" max="18" width="18.7109375" style="2059" customWidth="1"/>
    <col min="19" max="19" width="93.42578125" style="2059" customWidth="1"/>
    <col min="20" max="20" width="10.5703125" style="2059" customWidth="1"/>
    <col min="21" max="21" width="10.5703125" style="6509" customWidth="1"/>
    <col min="22" max="22" width="11.7109375" style="6509" customWidth="1"/>
    <col min="23" max="23" width="10.5703125" style="6510" customWidth="1"/>
    <col min="24" max="27" width="10.5703125" style="2057" customWidth="1"/>
    <col min="28" max="83" width="9.140625" style="2059"/>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6747" t="str">
        <f>FHD20_NAME_FORM</f>
        <v>Форма 11. Информация о расходах на капитальный и текущий ремонт основных средств</v>
      </c>
      <c r="F5" s="6747"/>
      <c r="G5" s="6747"/>
      <c r="H5" s="6747"/>
      <c r="I5" s="6747"/>
      <c r="J5" s="6747"/>
      <c r="K5" s="6747"/>
      <c r="L5" s="534"/>
      <c r="M5" s="534"/>
    </row>
    <row r="6" spans="1:83" s="1820" customFormat="1" ht="16.5" customHeight="1">
      <c r="A6" s="531"/>
      <c r="B6" s="676"/>
      <c r="C6" s="435"/>
      <c r="D6" s="965"/>
      <c r="E6" s="6694" t="str">
        <f>IF(org=0,"Не определено",org)</f>
        <v>ООО "Марикоммунэнерго"</v>
      </c>
      <c r="F6" s="6694"/>
      <c r="G6" s="6694"/>
      <c r="H6" s="6694"/>
      <c r="I6" s="6694"/>
      <c r="J6" s="6694"/>
      <c r="K6" s="6694"/>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16"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6600" t="s">
        <v>418</v>
      </c>
      <c r="F9" s="6605"/>
      <c r="G9" s="6605"/>
      <c r="H9" s="6605"/>
      <c r="I9" s="6605"/>
      <c r="J9" s="6605"/>
      <c r="K9" s="6605"/>
      <c r="L9" s="6605"/>
      <c r="M9" s="6605"/>
      <c r="N9" s="6605"/>
      <c r="O9" s="6605"/>
      <c r="P9" s="6605"/>
      <c r="Q9" s="6605"/>
      <c r="R9" s="6599"/>
      <c r="S9" s="6629" t="s">
        <v>419</v>
      </c>
      <c r="T9" s="261"/>
    </row>
    <row r="10" spans="1:83" ht="33.75" customHeight="1">
      <c r="D10" s="476" t="s">
        <v>87</v>
      </c>
      <c r="E10" s="6629" t="s">
        <v>87</v>
      </c>
      <c r="F10" s="6629"/>
      <c r="G10" s="447" t="s">
        <v>420</v>
      </c>
      <c r="H10" s="6629" t="s">
        <v>87</v>
      </c>
      <c r="I10" s="6629"/>
      <c r="J10" s="447" t="s">
        <v>719</v>
      </c>
      <c r="K10" s="447" t="s">
        <v>720</v>
      </c>
      <c r="L10" s="6629" t="s">
        <v>87</v>
      </c>
      <c r="M10" s="6629"/>
      <c r="N10" s="447" t="s">
        <v>721</v>
      </c>
      <c r="O10" s="447" t="s">
        <v>722</v>
      </c>
      <c r="P10" s="447" t="s">
        <v>723</v>
      </c>
      <c r="Q10" s="447" t="s">
        <v>724</v>
      </c>
      <c r="R10" s="447" t="s">
        <v>725</v>
      </c>
      <c r="S10" s="6629"/>
      <c r="T10" s="261"/>
    </row>
    <row r="11" spans="1:83" s="1817" customFormat="1" ht="15" hidden="1" customHeight="1">
      <c r="A11" s="959"/>
      <c r="D11" s="932" t="s">
        <v>178</v>
      </c>
      <c r="E11" s="932"/>
      <c r="F11" s="932" t="s">
        <v>98</v>
      </c>
      <c r="G11" s="932" t="s">
        <v>89</v>
      </c>
      <c r="H11" s="932"/>
      <c r="I11" s="932" t="s">
        <v>90</v>
      </c>
      <c r="J11" s="932" t="s">
        <v>115</v>
      </c>
      <c r="K11" s="932" t="s">
        <v>91</v>
      </c>
      <c r="L11" s="932"/>
      <c r="M11" s="932" t="s">
        <v>92</v>
      </c>
      <c r="N11" s="932" t="s">
        <v>128</v>
      </c>
      <c r="O11" s="932" t="s">
        <v>133</v>
      </c>
      <c r="P11" s="932" t="s">
        <v>138</v>
      </c>
      <c r="Q11" s="932" t="s">
        <v>104</v>
      </c>
      <c r="R11" s="932" t="s">
        <v>147</v>
      </c>
      <c r="S11" s="932" t="s">
        <v>152</v>
      </c>
      <c r="U11" s="532"/>
      <c r="V11" s="532"/>
      <c r="W11" s="532"/>
    </row>
    <row r="12" spans="1:83" s="1822" customFormat="1" ht="0.75" customHeight="1">
      <c r="A12" s="536"/>
      <c r="B12" s="289"/>
      <c r="D12" s="473"/>
      <c r="E12" s="272"/>
      <c r="F12" s="272"/>
      <c r="Q12" s="537"/>
      <c r="R12" s="538"/>
      <c r="T12" s="539"/>
      <c r="U12" s="540"/>
      <c r="V12" s="540"/>
      <c r="W12" s="541"/>
      <c r="X12" s="289"/>
      <c r="Y12" s="289"/>
      <c r="Z12" s="289"/>
      <c r="AA12" s="289"/>
    </row>
    <row r="13" spans="1:83" s="1816" customFormat="1" ht="0.75" customHeight="1">
      <c r="A13" s="542"/>
      <c r="B13" s="491"/>
      <c r="D13" s="473" t="s">
        <v>496</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2" customFormat="1" ht="15" hidden="1" customHeight="1">
      <c r="A14" s="544" t="s">
        <v>183</v>
      </c>
      <c r="B14" s="545"/>
      <c r="C14" s="545"/>
      <c r="D14" s="6849" t="s">
        <v>178</v>
      </c>
      <c r="E14" s="6846" t="s">
        <v>174</v>
      </c>
      <c r="F14" s="6847"/>
      <c r="G14" s="6848"/>
      <c r="H14" s="6852">
        <f>IF(A14="","",INDEX(DIFFERENTIATION_UNMERGE_VD,MATCH(A14,DIFFERENTIATION_ID_DIFF,0)))</f>
        <v>0</v>
      </c>
      <c r="I14" s="6852"/>
      <c r="J14" s="6852"/>
      <c r="K14" s="6852"/>
      <c r="L14" s="6852"/>
      <c r="M14" s="6852"/>
      <c r="N14" s="6852"/>
      <c r="O14" s="6852"/>
      <c r="P14" s="6852"/>
      <c r="Q14" s="6852"/>
      <c r="R14" s="6852"/>
      <c r="S14" s="638"/>
      <c r="T14" s="635"/>
      <c r="U14" s="546"/>
      <c r="V14" s="546"/>
      <c r="W14" s="547"/>
      <c r="X14" s="547"/>
      <c r="Y14" s="547"/>
      <c r="Z14" s="547"/>
      <c r="AA14" s="548"/>
      <c r="AB14" s="549"/>
      <c r="AC14" s="6844"/>
      <c r="AD14" s="550"/>
      <c r="AE14" s="551" t="s">
        <v>24</v>
      </c>
      <c r="AF14" s="551"/>
      <c r="AG14" s="552" t="s">
        <v>726</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2" customFormat="1" ht="15" hidden="1" customHeight="1">
      <c r="A15" s="544"/>
      <c r="B15" s="545"/>
      <c r="C15" s="545"/>
      <c r="D15" s="6850"/>
      <c r="E15" s="6846" t="s">
        <v>681</v>
      </c>
      <c r="F15" s="6847"/>
      <c r="G15" s="6848"/>
      <c r="H15" s="6852" t="str">
        <f>IF(A14="","",INDEX(DIFFERENTIATION_UNMERGE_AREA,MATCH(A14,DIFFERENTIATION_ID_DIFF,0)))</f>
        <v/>
      </c>
      <c r="I15" s="6852"/>
      <c r="J15" s="6852"/>
      <c r="K15" s="6852"/>
      <c r="L15" s="6852"/>
      <c r="M15" s="6852"/>
      <c r="N15" s="6852"/>
      <c r="O15" s="6852"/>
      <c r="P15" s="6852"/>
      <c r="Q15" s="6852"/>
      <c r="R15" s="6852"/>
      <c r="S15" s="638"/>
      <c r="T15" s="635"/>
      <c r="U15" s="546"/>
      <c r="V15" s="546"/>
      <c r="W15" s="547"/>
      <c r="X15" s="547"/>
      <c r="Y15" s="547"/>
      <c r="Z15" s="547"/>
      <c r="AA15" s="548"/>
      <c r="AB15" s="549"/>
      <c r="AC15" s="6844"/>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2" customFormat="1" ht="15" hidden="1" customHeight="1">
      <c r="A16" s="544"/>
      <c r="B16" s="545"/>
      <c r="C16" s="545"/>
      <c r="D16" s="6850"/>
      <c r="E16" s="6846" t="s">
        <v>682</v>
      </c>
      <c r="F16" s="6847"/>
      <c r="G16" s="6848"/>
      <c r="H16" s="6852" t="str">
        <f>IF(A14="","",INDEX(DIFFERENTIATION_UNMERGE_SYSTEM,MATCH(A14,DIFFERENTIATION_ID_DIFF,0)))</f>
        <v>без дифференциации</v>
      </c>
      <c r="I16" s="6852"/>
      <c r="J16" s="6852"/>
      <c r="K16" s="6852"/>
      <c r="L16" s="6852"/>
      <c r="M16" s="6852"/>
      <c r="N16" s="6852"/>
      <c r="O16" s="6852"/>
      <c r="P16" s="6852"/>
      <c r="Q16" s="6852"/>
      <c r="R16" s="6852"/>
      <c r="S16" s="638"/>
      <c r="T16" s="635"/>
      <c r="U16" s="546"/>
      <c r="V16" s="546"/>
      <c r="W16" s="547"/>
      <c r="X16" s="547"/>
      <c r="Y16" s="547"/>
      <c r="Z16" s="547"/>
      <c r="AA16" s="548"/>
      <c r="AB16" s="549"/>
      <c r="AC16" s="6844"/>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2" customFormat="1" ht="22.5" hidden="1" customHeight="1">
      <c r="A17" s="554"/>
      <c r="B17" s="351"/>
      <c r="C17" s="346"/>
      <c r="D17" s="6850"/>
      <c r="E17" s="6845" t="s">
        <v>727</v>
      </c>
      <c r="F17" s="6845"/>
      <c r="G17" s="6845"/>
      <c r="H17" s="6845"/>
      <c r="I17" s="6845"/>
      <c r="J17" s="6845"/>
      <c r="K17" s="6845"/>
      <c r="L17" s="6845"/>
      <c r="M17" s="6845"/>
      <c r="N17" s="6845"/>
      <c r="O17" s="6845"/>
      <c r="P17" s="6845"/>
      <c r="Q17" s="483">
        <f>SUMIF(T18:T19,"i",Q18:Q19)</f>
        <v>0</v>
      </c>
      <c r="R17" s="924"/>
      <c r="S17" s="810" t="s">
        <v>728</v>
      </c>
      <c r="T17" s="636" t="s">
        <v>729</v>
      </c>
      <c r="U17" s="6762">
        <v>1</v>
      </c>
      <c r="V17" s="6762" t="str">
        <f>INDEX(B_FHD_FLAG_INDEX_1,1,MATCH(A14,B_FHD_FLAG_DIFFERENTIATION,0))</f>
        <v>отсутствует</v>
      </c>
      <c r="W17" s="351"/>
      <c r="X17" s="351"/>
      <c r="Y17" s="351"/>
      <c r="Z17" s="351"/>
      <c r="AA17" s="437"/>
      <c r="AB17" s="351"/>
      <c r="AC17" s="6844"/>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2" customFormat="1" ht="11.25" hidden="1" customHeight="1">
      <c r="A18" s="555"/>
      <c r="B18" s="437"/>
      <c r="C18" s="437"/>
      <c r="D18" s="6850"/>
      <c r="E18" s="556"/>
      <c r="F18" s="556">
        <v>0</v>
      </c>
      <c r="G18" s="556"/>
      <c r="H18" s="556"/>
      <c r="I18" s="556"/>
      <c r="J18" s="556"/>
      <c r="K18" s="556"/>
      <c r="L18" s="556"/>
      <c r="M18" s="556"/>
      <c r="N18" s="556"/>
      <c r="O18" s="556"/>
      <c r="P18" s="556"/>
      <c r="Q18" s="556"/>
      <c r="R18" s="556"/>
      <c r="S18" s="557"/>
      <c r="T18" s="637"/>
      <c r="U18" s="6762"/>
      <c r="V18" s="6762"/>
      <c r="W18" s="437"/>
      <c r="X18" s="437"/>
      <c r="Y18" s="437"/>
      <c r="Z18" s="437"/>
      <c r="AA18" s="437"/>
      <c r="AB18" s="351"/>
      <c r="AC18" s="6844"/>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2" customFormat="1" ht="11.25" hidden="1" customHeight="1">
      <c r="A19" s="554"/>
      <c r="B19" s="351"/>
      <c r="C19" s="346"/>
      <c r="D19" s="6850"/>
      <c r="E19" s="570" t="s">
        <v>24</v>
      </c>
      <c r="F19" s="571" t="s">
        <v>24</v>
      </c>
      <c r="G19" s="571" t="s">
        <v>24</v>
      </c>
      <c r="H19" s="572" t="s">
        <v>24</v>
      </c>
      <c r="I19" s="572"/>
      <c r="J19" s="572"/>
      <c r="K19" s="572"/>
      <c r="L19" s="572"/>
      <c r="M19" s="572"/>
      <c r="N19" s="572"/>
      <c r="O19" s="572"/>
      <c r="P19" s="572"/>
      <c r="Q19" s="572"/>
      <c r="R19" s="573"/>
      <c r="S19" s="927"/>
      <c r="T19" s="637"/>
      <c r="U19" s="6762"/>
      <c r="V19" s="6762"/>
      <c r="W19" s="351"/>
      <c r="X19" s="351"/>
      <c r="Y19" s="351"/>
      <c r="Z19" s="351"/>
      <c r="AA19" s="437"/>
      <c r="AB19" s="351"/>
      <c r="AC19" s="6844"/>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2" customFormat="1" ht="22.5" hidden="1" customHeight="1">
      <c r="A20" s="554"/>
      <c r="B20" s="351"/>
      <c r="C20" s="346"/>
      <c r="D20" s="6850"/>
      <c r="E20" s="6845" t="s">
        <v>730</v>
      </c>
      <c r="F20" s="6845"/>
      <c r="G20" s="6845"/>
      <c r="H20" s="6845"/>
      <c r="I20" s="6845"/>
      <c r="J20" s="6845"/>
      <c r="K20" s="6845"/>
      <c r="L20" s="6845"/>
      <c r="M20" s="6845"/>
      <c r="N20" s="6845"/>
      <c r="O20" s="6845"/>
      <c r="P20" s="6845"/>
      <c r="Q20" s="483">
        <f>SUMIF(T21:T22,"i",Q21:Q22)</f>
        <v>0</v>
      </c>
      <c r="R20" s="924"/>
      <c r="S20" s="628" t="s">
        <v>731</v>
      </c>
      <c r="T20" s="636" t="s">
        <v>729</v>
      </c>
      <c r="U20" s="6762">
        <v>2</v>
      </c>
      <c r="V20" s="6762"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2" customFormat="1" ht="11.25" hidden="1" customHeight="1">
      <c r="A21" s="627"/>
      <c r="B21" s="437"/>
      <c r="C21" s="437"/>
      <c r="D21" s="6850"/>
      <c r="E21" s="556"/>
      <c r="F21" s="556">
        <v>0</v>
      </c>
      <c r="G21" s="556"/>
      <c r="H21" s="556"/>
      <c r="I21" s="556"/>
      <c r="J21" s="556"/>
      <c r="K21" s="556"/>
      <c r="L21" s="556"/>
      <c r="M21" s="556"/>
      <c r="N21" s="556"/>
      <c r="O21" s="556"/>
      <c r="P21" s="556"/>
      <c r="Q21" s="556"/>
      <c r="R21" s="556"/>
      <c r="S21" s="557"/>
      <c r="T21" s="637"/>
      <c r="U21" s="6762"/>
      <c r="V21" s="6762"/>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2" customFormat="1" ht="11.25" hidden="1" customHeight="1">
      <c r="A22" s="554"/>
      <c r="B22" s="351"/>
      <c r="C22" s="346"/>
      <c r="D22" s="6851"/>
      <c r="E22" s="570" t="s">
        <v>24</v>
      </c>
      <c r="F22" s="571" t="s">
        <v>24</v>
      </c>
      <c r="G22" s="571" t="s">
        <v>24</v>
      </c>
      <c r="H22" s="572" t="s">
        <v>24</v>
      </c>
      <c r="I22" s="572"/>
      <c r="J22" s="572"/>
      <c r="K22" s="572"/>
      <c r="L22" s="572"/>
      <c r="M22" s="572"/>
      <c r="N22" s="572"/>
      <c r="O22" s="572"/>
      <c r="P22" s="572"/>
      <c r="Q22" s="572"/>
      <c r="R22" s="573"/>
      <c r="S22" s="927"/>
      <c r="T22" s="637"/>
      <c r="U22" s="6762"/>
      <c r="V22" s="6762"/>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6853"/>
      <c r="F27" s="6853"/>
      <c r="G27" s="6853"/>
      <c r="H27" s="6853"/>
      <c r="I27" s="6853"/>
      <c r="J27" s="6853"/>
      <c r="K27" s="6853"/>
      <c r="L27" s="6853"/>
      <c r="M27" s="6853"/>
      <c r="N27" s="6853"/>
      <c r="O27" s="6853"/>
      <c r="P27" s="6853"/>
      <c r="Q27" s="6853"/>
      <c r="R27" s="6853"/>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6501" hidden="1" customWidth="1"/>
    <col min="2" max="2" width="16.85546875" style="1830" hidden="1" customWidth="1"/>
    <col min="3" max="3" width="5.5703125" style="1832" hidden="1" customWidth="1"/>
    <col min="4" max="4" width="3.7109375" style="6507" customWidth="1"/>
    <col min="5" max="5" width="7.7109375" style="2045" customWidth="1"/>
    <col min="6" max="6" width="56.140625" style="2045" customWidth="1"/>
    <col min="7" max="7" width="10.42578125" style="2045" customWidth="1"/>
    <col min="8" max="8" width="40.7109375" style="2045" hidden="1" customWidth="1"/>
    <col min="9" max="9" width="40.7109375" style="2045" customWidth="1"/>
    <col min="10" max="10" width="102.85546875" style="2045" customWidth="1"/>
    <col min="11" max="11" width="9.7109375" style="1830" customWidth="1"/>
    <col min="12" max="12" width="5.28515625" style="1832" customWidth="1"/>
    <col min="13" max="13" width="3.7109375" style="1832" customWidth="1"/>
    <col min="14" max="17" width="3.7109375" style="1830" customWidth="1"/>
    <col min="18" max="18" width="10.5703125" style="1832" customWidth="1"/>
    <col min="19" max="19" width="34.7109375" style="1830" customWidth="1"/>
    <col min="20" max="20" width="9.42578125" style="1830" customWidth="1"/>
    <col min="21" max="21" width="9.140625" style="6502"/>
    <col min="22" max="26" width="9.140625" style="1830"/>
    <col min="27" max="31" width="9.140625" style="2044"/>
  </cols>
  <sheetData>
    <row r="1" spans="1:31" s="1830" customFormat="1" ht="11.25" hidden="1" customHeight="1">
      <c r="A1" s="895"/>
      <c r="C1" s="1547"/>
      <c r="D1" s="462"/>
      <c r="H1" s="1060">
        <v>4</v>
      </c>
      <c r="I1" s="1060">
        <v>4</v>
      </c>
      <c r="L1" s="1547"/>
      <c r="M1" s="1547"/>
      <c r="R1" s="1547"/>
    </row>
    <row r="2" spans="1:31" s="1830" customFormat="1" ht="22.5" hidden="1" customHeight="1">
      <c r="A2" s="895"/>
      <c r="C2" s="1547"/>
      <c r="D2" s="463"/>
      <c r="E2" s="1548"/>
      <c r="F2" s="465"/>
      <c r="G2" s="1550" t="s">
        <v>669</v>
      </c>
      <c r="H2" s="466"/>
      <c r="I2" s="466"/>
      <c r="J2" s="467" t="s">
        <v>732</v>
      </c>
      <c r="K2" s="468"/>
      <c r="L2" s="1547"/>
      <c r="M2" s="1547"/>
      <c r="R2" s="1547"/>
      <c r="U2" s="469"/>
      <c r="AA2" s="1543"/>
      <c r="AB2" s="1543"/>
      <c r="AC2" s="1543"/>
      <c r="AD2" s="1543"/>
      <c r="AE2" s="1543"/>
    </row>
    <row r="3" spans="1:31" ht="11.25" hidden="1" customHeight="1"/>
    <row r="4" spans="1:31" s="2044" customFormat="1" ht="11.25" hidden="1" customHeight="1">
      <c r="A4" s="895"/>
      <c r="B4" s="1060"/>
      <c r="C4" s="1547"/>
      <c r="D4" s="289"/>
      <c r="J4" s="1543">
        <v>4</v>
      </c>
      <c r="K4" s="1060"/>
      <c r="L4" s="1547"/>
      <c r="M4" s="1547"/>
      <c r="N4" s="1060"/>
      <c r="O4" s="1060"/>
      <c r="P4" s="1060"/>
      <c r="Q4" s="1060"/>
      <c r="R4" s="1547"/>
      <c r="S4" s="1060"/>
      <c r="T4" s="1060"/>
      <c r="U4" s="469"/>
      <c r="V4" s="1060"/>
      <c r="W4" s="1060"/>
      <c r="X4" s="1060"/>
      <c r="Y4" s="1060"/>
      <c r="Z4" s="1060"/>
    </row>
    <row r="6" spans="1:31" ht="22.5" customHeight="1">
      <c r="E6" s="6707" t="s">
        <v>733</v>
      </c>
      <c r="F6" s="6707"/>
      <c r="G6" s="6707"/>
      <c r="H6" s="6707"/>
      <c r="I6" s="6707"/>
      <c r="J6" s="481"/>
    </row>
    <row r="7" spans="1:31" ht="24" customHeight="1">
      <c r="E7" s="6694" t="str">
        <f>IF(org=0,"Не определено",org)</f>
        <v>ООО "Марикоммунэнерго"</v>
      </c>
      <c r="F7" s="6694"/>
      <c r="G7" s="6694"/>
      <c r="H7" s="6694"/>
      <c r="I7" s="6694"/>
    </row>
    <row r="8" spans="1:31" ht="11.25" customHeight="1">
      <c r="E8" s="1037"/>
      <c r="F8" s="1037"/>
      <c r="G8" s="1037"/>
      <c r="H8" s="1037"/>
      <c r="I8" s="1037"/>
    </row>
    <row r="9" spans="1:31" s="1832" customFormat="1" ht="0.75" customHeight="1">
      <c r="A9" s="1067"/>
      <c r="D9" s="1552"/>
      <c r="H9" s="802"/>
      <c r="I9" s="802" t="s">
        <v>183</v>
      </c>
    </row>
    <row r="10" spans="1:31" ht="11.25" customHeight="1">
      <c r="E10" s="630"/>
      <c r="F10" s="6838" t="s">
        <v>174</v>
      </c>
      <c r="G10" s="6839"/>
      <c r="H10" s="1469" t="str">
        <f>IF(H9="","",INDEX(DIFFERENTIATION_UNMERGE_VD,MATCH(H9,DIFFERENTIATION_ID_DIFF,0)))</f>
        <v/>
      </c>
      <c r="I10" s="1469">
        <f>IF(I9="","",INDEX(DIFFERENTIATION_UNMERGE_VD,MATCH(I9,DIFFERENTIATION_ID_DIFF,0)))</f>
        <v>0</v>
      </c>
      <c r="J10" s="6629"/>
    </row>
    <row r="11" spans="1:31" ht="11.25" customHeight="1">
      <c r="E11" s="630"/>
      <c r="F11" s="6838" t="s">
        <v>681</v>
      </c>
      <c r="G11" s="6839"/>
      <c r="H11" s="1469" t="str">
        <f>IF(H9="","",INDEX(DIFFERENTIATION_UNMERGE_AREA,MATCH(H9,DIFFERENTIATION_ID_DIFF,0)))</f>
        <v/>
      </c>
      <c r="I11" s="1469" t="str">
        <f>IF(I9="","",INDEX(DIFFERENTIATION_UNMERGE_AREA,MATCH(I9,DIFFERENTIATION_ID_DIFF,0)))</f>
        <v/>
      </c>
      <c r="J11" s="6629"/>
    </row>
    <row r="12" spans="1:31" ht="11.25" hidden="1" customHeight="1">
      <c r="E12" s="1572"/>
      <c r="F12" s="6854" t="s">
        <v>682</v>
      </c>
      <c r="G12" s="6855"/>
      <c r="H12" s="1573" t="str">
        <f>IF(H9="","",INDEX(DIFFERENTIATION_UNMERGE_SYSTEM,MATCH(H9,DIFFERENTIATION_ID_DIFF,0)))</f>
        <v/>
      </c>
      <c r="I12" s="1573" t="str">
        <f>IF(I9="","",INDEX(DIFFERENTIATION_UNMERGE_SYSTEM,MATCH(I9,DIFFERENTIATION_ID_DIFF,0)))</f>
        <v>без дифференциации</v>
      </c>
      <c r="J12" s="6629"/>
    </row>
    <row r="13" spans="1:31" ht="11.25" customHeight="1">
      <c r="E13" s="6840" t="s">
        <v>418</v>
      </c>
      <c r="F13" s="6841"/>
      <c r="G13" s="6841"/>
      <c r="H13" s="1468"/>
      <c r="I13" s="1468"/>
      <c r="J13" s="6629"/>
    </row>
    <row r="14" spans="1:31" ht="22.5" customHeight="1">
      <c r="E14" s="1550" t="s">
        <v>87</v>
      </c>
      <c r="F14" s="1545" t="s">
        <v>420</v>
      </c>
      <c r="G14" s="1545" t="s">
        <v>683</v>
      </c>
      <c r="H14" s="1545" t="s">
        <v>421</v>
      </c>
      <c r="I14" s="1545" t="s">
        <v>421</v>
      </c>
      <c r="J14" s="6629"/>
    </row>
    <row r="15" spans="1:31" ht="18.75" customHeight="1">
      <c r="D15" s="1549"/>
      <c r="E15" s="1541" t="s">
        <v>178</v>
      </c>
      <c r="F15" s="626" t="s">
        <v>734</v>
      </c>
      <c r="G15" s="1556" t="s">
        <v>669</v>
      </c>
      <c r="H15" s="482"/>
      <c r="I15" s="482"/>
      <c r="J15" s="208" t="s">
        <v>735</v>
      </c>
      <c r="K15" s="468" t="s">
        <v>736</v>
      </c>
    </row>
    <row r="16" spans="1:31" ht="33.75" customHeight="1">
      <c r="D16" s="1549"/>
      <c r="E16" s="1541" t="s">
        <v>98</v>
      </c>
      <c r="F16" s="626" t="s">
        <v>737</v>
      </c>
      <c r="G16" s="1556" t="s">
        <v>669</v>
      </c>
      <c r="H16" s="483">
        <f>SUM(H17,H20:H32)</f>
        <v>0</v>
      </c>
      <c r="I16" s="483">
        <f>SUM(I17,I20:I32)</f>
        <v>0</v>
      </c>
      <c r="J16" s="208" t="s">
        <v>738</v>
      </c>
      <c r="K16" s="468" t="s">
        <v>736</v>
      </c>
    </row>
    <row r="17" spans="1:31" ht="18.75" customHeight="1">
      <c r="D17" s="1549"/>
      <c r="E17" s="1574" t="s">
        <v>739</v>
      </c>
      <c r="F17" s="863" t="s">
        <v>740</v>
      </c>
      <c r="G17" s="1553" t="s">
        <v>669</v>
      </c>
      <c r="H17" s="482"/>
      <c r="I17" s="482"/>
      <c r="J17" s="208" t="s">
        <v>741</v>
      </c>
      <c r="K17" s="468"/>
    </row>
    <row r="18" spans="1:31" ht="22.5" customHeight="1">
      <c r="D18" s="1549"/>
      <c r="E18" s="1574" t="s">
        <v>742</v>
      </c>
      <c r="F18" s="1560" t="s">
        <v>743</v>
      </c>
      <c r="G18" s="1553" t="s">
        <v>669</v>
      </c>
      <c r="H18" s="482"/>
      <c r="I18" s="482"/>
      <c r="J18" s="208" t="s">
        <v>744</v>
      </c>
      <c r="K18" s="468"/>
    </row>
    <row r="19" spans="1:31" ht="33.75" customHeight="1">
      <c r="D19" s="1549"/>
      <c r="E19" s="1574" t="s">
        <v>745</v>
      </c>
      <c r="F19" s="1560" t="s">
        <v>746</v>
      </c>
      <c r="G19" s="1553" t="s">
        <v>669</v>
      </c>
      <c r="H19" s="482"/>
      <c r="I19" s="482"/>
      <c r="J19" s="208"/>
      <c r="K19" s="468"/>
    </row>
    <row r="20" spans="1:31" ht="18.75" customHeight="1">
      <c r="D20" s="1549"/>
      <c r="E20" s="1574" t="s">
        <v>425</v>
      </c>
      <c r="F20" s="863" t="s">
        <v>747</v>
      </c>
      <c r="G20" s="1553" t="s">
        <v>669</v>
      </c>
      <c r="H20" s="482"/>
      <c r="I20" s="482"/>
      <c r="J20" s="208" t="s">
        <v>748</v>
      </c>
      <c r="K20" s="468"/>
    </row>
    <row r="21" spans="1:31" ht="18.75" customHeight="1">
      <c r="D21" s="1549"/>
      <c r="E21" s="1574" t="s">
        <v>749</v>
      </c>
      <c r="F21" s="1560" t="s">
        <v>750</v>
      </c>
      <c r="G21" s="1553" t="s">
        <v>669</v>
      </c>
      <c r="H21" s="482"/>
      <c r="I21" s="482"/>
      <c r="J21" s="208"/>
      <c r="K21" s="468"/>
    </row>
    <row r="22" spans="1:31" ht="18.75" customHeight="1">
      <c r="D22" s="1549"/>
      <c r="E22" s="1574" t="s">
        <v>751</v>
      </c>
      <c r="F22" s="1560" t="s">
        <v>752</v>
      </c>
      <c r="G22" s="1553" t="s">
        <v>669</v>
      </c>
      <c r="H22" s="482"/>
      <c r="I22" s="482"/>
      <c r="J22" s="208"/>
      <c r="K22" s="468"/>
    </row>
    <row r="23" spans="1:31" ht="22.5" customHeight="1">
      <c r="D23" s="1549"/>
      <c r="E23" s="1574" t="s">
        <v>428</v>
      </c>
      <c r="F23" s="863" t="s">
        <v>753</v>
      </c>
      <c r="G23" s="1553" t="s">
        <v>669</v>
      </c>
      <c r="H23" s="482"/>
      <c r="I23" s="482"/>
      <c r="J23" s="208" t="s">
        <v>754</v>
      </c>
      <c r="K23" s="468"/>
    </row>
    <row r="24" spans="1:31" ht="18.75" customHeight="1">
      <c r="D24" s="1549"/>
      <c r="E24" s="1574" t="s">
        <v>755</v>
      </c>
      <c r="F24" s="1560" t="s">
        <v>756</v>
      </c>
      <c r="G24" s="1553" t="s">
        <v>669</v>
      </c>
      <c r="H24" s="482"/>
      <c r="I24" s="482"/>
      <c r="J24" s="208"/>
      <c r="K24" s="468"/>
    </row>
    <row r="25" spans="1:31" ht="33.75" customHeight="1">
      <c r="D25" s="1549"/>
      <c r="E25" s="1574" t="s">
        <v>757</v>
      </c>
      <c r="F25" s="1560" t="s">
        <v>758</v>
      </c>
      <c r="G25" s="1553" t="s">
        <v>669</v>
      </c>
      <c r="H25" s="482"/>
      <c r="I25" s="482"/>
      <c r="J25" s="208"/>
      <c r="K25" s="468"/>
    </row>
    <row r="26" spans="1:31" ht="22.5" customHeight="1">
      <c r="D26" s="1549"/>
      <c r="E26" s="1574" t="s">
        <v>759</v>
      </c>
      <c r="F26" s="863" t="s">
        <v>760</v>
      </c>
      <c r="G26" s="1553" t="s">
        <v>669</v>
      </c>
      <c r="H26" s="482"/>
      <c r="I26" s="482"/>
      <c r="J26" s="208" t="s">
        <v>761</v>
      </c>
      <c r="K26" s="468"/>
    </row>
    <row r="27" spans="1:31" ht="18.75" customHeight="1">
      <c r="D27" s="1549"/>
      <c r="E27" s="1585" t="s">
        <v>762</v>
      </c>
      <c r="F27" s="1560" t="s">
        <v>763</v>
      </c>
      <c r="G27" s="1564" t="s">
        <v>669</v>
      </c>
      <c r="H27" s="1586"/>
      <c r="I27" s="1586"/>
      <c r="J27" s="208"/>
      <c r="K27" s="468"/>
    </row>
    <row r="28" spans="1:31" ht="18.75" customHeight="1">
      <c r="D28" s="1549"/>
      <c r="E28" s="1585" t="s">
        <v>764</v>
      </c>
      <c r="F28" s="1560" t="s">
        <v>765</v>
      </c>
      <c r="G28" s="1564" t="s">
        <v>669</v>
      </c>
      <c r="H28" s="1586"/>
      <c r="I28" s="1586"/>
      <c r="J28" s="208"/>
      <c r="K28" s="468"/>
    </row>
    <row r="29" spans="1:31" ht="18.75" customHeight="1">
      <c r="D29" s="1549"/>
      <c r="E29" s="1585" t="s">
        <v>766</v>
      </c>
      <c r="F29" s="863" t="s">
        <v>767</v>
      </c>
      <c r="G29" s="1564" t="s">
        <v>669</v>
      </c>
      <c r="H29" s="1586"/>
      <c r="I29" s="1586"/>
      <c r="J29" s="208"/>
      <c r="K29" s="468"/>
    </row>
    <row r="30" spans="1:31" ht="18.75" customHeight="1">
      <c r="D30" s="1549"/>
      <c r="E30" s="1585" t="s">
        <v>768</v>
      </c>
      <c r="F30" s="863" t="s">
        <v>769</v>
      </c>
      <c r="G30" s="1564" t="s">
        <v>669</v>
      </c>
      <c r="H30" s="1586"/>
      <c r="I30" s="1586"/>
      <c r="J30" s="208"/>
      <c r="K30" s="468"/>
    </row>
    <row r="31" spans="1:31" ht="18.75" customHeight="1">
      <c r="D31" s="1549"/>
      <c r="E31" s="1585" t="s">
        <v>770</v>
      </c>
      <c r="F31" s="863" t="s">
        <v>771</v>
      </c>
      <c r="G31" s="1564" t="s">
        <v>669</v>
      </c>
      <c r="H31" s="1586"/>
      <c r="I31" s="1586"/>
      <c r="J31" s="208"/>
      <c r="K31" s="468"/>
    </row>
    <row r="32" spans="1:31" s="1830" customFormat="1" ht="22.5" customHeight="1">
      <c r="A32" s="895"/>
      <c r="C32" s="1547"/>
      <c r="D32" s="1549"/>
      <c r="E32" s="1585" t="s">
        <v>772</v>
      </c>
      <c r="F32" s="863" t="s">
        <v>773</v>
      </c>
      <c r="G32" s="1554" t="s">
        <v>669</v>
      </c>
      <c r="H32" s="504">
        <f>SUM(H33:H34)</f>
        <v>0</v>
      </c>
      <c r="I32" s="504">
        <f>SUM(I33:I34)</f>
        <v>0</v>
      </c>
      <c r="J32" s="208" t="s">
        <v>774</v>
      </c>
      <c r="K32" s="468"/>
      <c r="L32" s="1547"/>
      <c r="M32" s="1547"/>
      <c r="R32" s="1547"/>
      <c r="U32" s="469"/>
      <c r="AA32" s="1543"/>
      <c r="AB32" s="1543"/>
      <c r="AC32" s="1543"/>
      <c r="AD32" s="1543"/>
      <c r="AE32" s="1543"/>
    </row>
    <row r="33" spans="1:31" s="1832" customFormat="1" ht="0.75" customHeight="1">
      <c r="A33" s="1067"/>
      <c r="D33" s="473"/>
      <c r="E33" s="719" t="str">
        <f>E32&amp;".0"</f>
        <v>2.8.0</v>
      </c>
      <c r="F33" s="899"/>
      <c r="G33" s="476"/>
      <c r="H33" s="900"/>
      <c r="I33" s="900"/>
      <c r="J33" s="901"/>
    </row>
    <row r="34" spans="1:31" s="1830" customFormat="1" ht="18.75" customHeight="1">
      <c r="A34" s="895"/>
      <c r="C34" s="1547"/>
      <c r="D34" s="1544"/>
      <c r="E34" s="495"/>
      <c r="F34" s="1576" t="s">
        <v>694</v>
      </c>
      <c r="G34" s="497"/>
      <c r="H34" s="498"/>
      <c r="I34" s="498"/>
      <c r="J34" s="220" t="s">
        <v>775</v>
      </c>
      <c r="K34" s="468"/>
      <c r="L34" s="1547"/>
      <c r="M34" s="1547"/>
      <c r="R34" s="1547"/>
      <c r="U34" s="469"/>
      <c r="AA34" s="1543"/>
      <c r="AB34" s="1543"/>
      <c r="AC34" s="1543"/>
      <c r="AD34" s="1543"/>
      <c r="AE34" s="1543"/>
    </row>
    <row r="35" spans="1:31" ht="56.25" customHeight="1">
      <c r="D35" s="1549"/>
      <c r="E35" s="1585" t="s">
        <v>776</v>
      </c>
      <c r="F35" s="863" t="s">
        <v>777</v>
      </c>
      <c r="G35" s="1564" t="s">
        <v>669</v>
      </c>
      <c r="H35" s="1586"/>
      <c r="I35" s="1586"/>
      <c r="J35" s="208" t="s">
        <v>778</v>
      </c>
      <c r="K35" s="468"/>
    </row>
    <row r="36" spans="1:31" s="1830" customFormat="1" ht="22.5" customHeight="1">
      <c r="A36" s="897" t="s">
        <v>695</v>
      </c>
      <c r="C36" s="1547"/>
      <c r="D36" s="1549"/>
      <c r="E36" s="1574" t="s">
        <v>89</v>
      </c>
      <c r="F36" s="626" t="s">
        <v>779</v>
      </c>
      <c r="G36" s="1553" t="s">
        <v>669</v>
      </c>
      <c r="H36" s="482"/>
      <c r="I36" s="482"/>
      <c r="J36" s="208" t="s">
        <v>780</v>
      </c>
      <c r="K36" s="468"/>
      <c r="L36" s="1547"/>
      <c r="M36" s="1547"/>
      <c r="R36" s="1547"/>
      <c r="U36" s="469"/>
      <c r="AA36" s="1543"/>
      <c r="AB36" s="1543"/>
      <c r="AC36" s="1543"/>
      <c r="AD36" s="1543"/>
      <c r="AE36" s="1543"/>
    </row>
    <row r="37" spans="1:31" s="1830" customFormat="1" ht="22.5" customHeight="1">
      <c r="A37" s="897"/>
      <c r="C37" s="1547"/>
      <c r="D37" s="1549"/>
      <c r="E37" s="1574" t="s">
        <v>444</v>
      </c>
      <c r="F37" s="863" t="s">
        <v>781</v>
      </c>
      <c r="G37" s="1564"/>
      <c r="H37" s="482"/>
      <c r="I37" s="482"/>
      <c r="J37" s="208"/>
      <c r="K37" s="468"/>
      <c r="L37" s="1547"/>
      <c r="M37" s="1547"/>
      <c r="R37" s="1547"/>
      <c r="U37" s="469"/>
      <c r="AA37" s="1543"/>
      <c r="AB37" s="1543"/>
      <c r="AC37" s="1543"/>
      <c r="AD37" s="1543"/>
      <c r="AE37" s="1543"/>
    </row>
    <row r="38" spans="1:31" s="1830" customFormat="1" ht="18.75" customHeight="1">
      <c r="A38" s="895"/>
      <c r="C38" s="1547"/>
      <c r="D38" s="500"/>
      <c r="E38" s="1574" t="s">
        <v>90</v>
      </c>
      <c r="F38" s="626" t="s">
        <v>782</v>
      </c>
      <c r="G38" s="1553" t="s">
        <v>669</v>
      </c>
      <c r="H38" s="482"/>
      <c r="I38" s="482"/>
      <c r="J38" s="208" t="s">
        <v>783</v>
      </c>
      <c r="K38" s="468"/>
      <c r="L38" s="1547"/>
      <c r="M38" s="1547"/>
      <c r="R38" s="1547"/>
      <c r="U38" s="469"/>
      <c r="AA38" s="1543"/>
      <c r="AB38" s="1543"/>
      <c r="AC38" s="1543"/>
      <c r="AD38" s="1543"/>
      <c r="AE38" s="1543"/>
    </row>
    <row r="39" spans="1:31" s="1830" customFormat="1" ht="22.5" customHeight="1">
      <c r="A39" s="895"/>
      <c r="C39" s="1547"/>
      <c r="D39" s="500"/>
      <c r="E39" s="1574" t="s">
        <v>784</v>
      </c>
      <c r="F39" s="863" t="s">
        <v>785</v>
      </c>
      <c r="G39" s="1564" t="s">
        <v>669</v>
      </c>
      <c r="H39" s="482"/>
      <c r="I39" s="482"/>
      <c r="J39" s="208" t="s">
        <v>786</v>
      </c>
      <c r="K39" s="468"/>
      <c r="L39" s="1547"/>
      <c r="M39" s="1547"/>
      <c r="R39" s="1547"/>
      <c r="U39" s="469"/>
      <c r="AA39" s="1543"/>
      <c r="AB39" s="1543"/>
      <c r="AC39" s="1543"/>
      <c r="AD39" s="1543"/>
      <c r="AE39" s="1543"/>
    </row>
    <row r="40" spans="1:31" s="1830" customFormat="1" ht="22.5" customHeight="1">
      <c r="A40" s="895"/>
      <c r="C40" s="1547"/>
      <c r="D40" s="1549"/>
      <c r="E40" s="1574" t="s">
        <v>787</v>
      </c>
      <c r="F40" s="1560" t="s">
        <v>788</v>
      </c>
      <c r="G40" s="1553" t="s">
        <v>669</v>
      </c>
      <c r="H40" s="482"/>
      <c r="I40" s="482"/>
      <c r="J40" s="208" t="s">
        <v>789</v>
      </c>
      <c r="K40" s="468"/>
      <c r="L40" s="1547"/>
      <c r="M40" s="1547"/>
      <c r="R40" s="1547"/>
      <c r="U40" s="469"/>
      <c r="AA40" s="1543"/>
      <c r="AB40" s="1543"/>
      <c r="AC40" s="1543"/>
      <c r="AD40" s="1543"/>
      <c r="AE40" s="1543"/>
    </row>
    <row r="41" spans="1:31" s="1830" customFormat="1" ht="22.5" customHeight="1">
      <c r="A41" s="895"/>
      <c r="C41" s="1547"/>
      <c r="D41" s="1549"/>
      <c r="E41" s="1574" t="s">
        <v>790</v>
      </c>
      <c r="F41" s="1560" t="s">
        <v>791</v>
      </c>
      <c r="G41" s="1553" t="s">
        <v>669</v>
      </c>
      <c r="H41" s="482"/>
      <c r="I41" s="482"/>
      <c r="J41" s="208" t="s">
        <v>792</v>
      </c>
      <c r="K41" s="468"/>
      <c r="L41" s="1547"/>
      <c r="M41" s="1547"/>
      <c r="R41" s="1547"/>
      <c r="U41" s="469"/>
      <c r="AA41" s="1543"/>
      <c r="AB41" s="1543"/>
      <c r="AC41" s="1543"/>
      <c r="AD41" s="1543"/>
      <c r="AE41" s="1543"/>
    </row>
    <row r="42" spans="1:31" s="1830" customFormat="1" ht="22.5" customHeight="1">
      <c r="A42" s="895"/>
      <c r="C42" s="1547"/>
      <c r="D42" s="1549"/>
      <c r="E42" s="1574" t="s">
        <v>793</v>
      </c>
      <c r="F42" s="1560" t="s">
        <v>794</v>
      </c>
      <c r="G42" s="1553" t="s">
        <v>669</v>
      </c>
      <c r="H42" s="482"/>
      <c r="I42" s="482"/>
      <c r="J42" s="208" t="s">
        <v>795</v>
      </c>
      <c r="K42" s="468"/>
      <c r="L42" s="1547"/>
      <c r="M42" s="1547"/>
      <c r="R42" s="1547"/>
      <c r="U42" s="469"/>
      <c r="AA42" s="1543"/>
      <c r="AB42" s="1543"/>
      <c r="AC42" s="1543"/>
      <c r="AD42" s="1543"/>
      <c r="AE42" s="1543"/>
    </row>
    <row r="43" spans="1:31" s="1830" customFormat="1" ht="33.75" customHeight="1">
      <c r="A43" s="895"/>
      <c r="C43" s="1547" t="s">
        <v>705</v>
      </c>
      <c r="D43" s="1549"/>
      <c r="E43" s="1574" t="s">
        <v>115</v>
      </c>
      <c r="F43" s="626" t="s">
        <v>796</v>
      </c>
      <c r="G43" s="1556" t="s">
        <v>797</v>
      </c>
      <c r="H43" s="335"/>
      <c r="I43" s="335"/>
      <c r="J43" s="208" t="s">
        <v>798</v>
      </c>
      <c r="K43" s="468"/>
      <c r="L43" s="1547"/>
      <c r="M43" s="1547"/>
      <c r="R43" s="1547"/>
      <c r="U43" s="469"/>
      <c r="AA43" s="1543"/>
      <c r="AB43" s="1543"/>
      <c r="AC43" s="1543"/>
      <c r="AD43" s="1543"/>
      <c r="AE43" s="1543"/>
    </row>
    <row r="44" spans="1:31" s="1830" customFormat="1" ht="22.5" customHeight="1">
      <c r="A44" s="895"/>
      <c r="C44" s="1547"/>
      <c r="D44" s="1549"/>
      <c r="E44" s="1574" t="s">
        <v>91</v>
      </c>
      <c r="F44" s="626" t="s">
        <v>799</v>
      </c>
      <c r="G44" s="1553" t="s">
        <v>800</v>
      </c>
      <c r="H44" s="470"/>
      <c r="I44" s="470"/>
      <c r="J44" s="208" t="s">
        <v>801</v>
      </c>
      <c r="K44" s="468"/>
      <c r="L44" s="1547"/>
      <c r="M44" s="1547"/>
      <c r="R44" s="1547"/>
      <c r="U44" s="469"/>
      <c r="AA44" s="1543"/>
      <c r="AB44" s="1543"/>
      <c r="AC44" s="1543"/>
      <c r="AD44" s="1543"/>
      <c r="AE44" s="1543"/>
    </row>
    <row r="45" spans="1:31" s="1830" customFormat="1" ht="22.5" customHeight="1">
      <c r="A45" s="895"/>
      <c r="C45" s="1547"/>
      <c r="D45" s="1549"/>
      <c r="E45" s="1574" t="s">
        <v>92</v>
      </c>
      <c r="F45" s="626" t="s">
        <v>802</v>
      </c>
      <c r="G45" s="1564" t="s">
        <v>803</v>
      </c>
      <c r="H45" s="470"/>
      <c r="I45" s="470"/>
      <c r="J45" s="208" t="s">
        <v>804</v>
      </c>
      <c r="K45" s="468"/>
      <c r="L45" s="1547"/>
      <c r="M45" s="1547"/>
      <c r="R45" s="1547"/>
      <c r="U45" s="469"/>
      <c r="AA45" s="1543"/>
      <c r="AB45" s="1543"/>
      <c r="AC45" s="1543"/>
      <c r="AD45" s="1543"/>
      <c r="AE45" s="1543"/>
    </row>
    <row r="46" spans="1:31" s="1830" customFormat="1" ht="18.75" customHeight="1">
      <c r="A46" s="895"/>
      <c r="C46" s="1547"/>
      <c r="D46" s="1549"/>
      <c r="E46" s="1574" t="s">
        <v>128</v>
      </c>
      <c r="F46" s="626" t="s">
        <v>805</v>
      </c>
      <c r="G46" s="1553" t="s">
        <v>707</v>
      </c>
      <c r="H46" s="502"/>
      <c r="I46" s="502"/>
      <c r="J46" s="208"/>
      <c r="K46" s="468"/>
      <c r="L46" s="1547"/>
      <c r="M46" s="1547"/>
      <c r="R46" s="1547"/>
      <c r="U46" s="469"/>
      <c r="AA46" s="1543"/>
      <c r="AB46" s="1543"/>
      <c r="AC46" s="1543"/>
      <c r="AD46" s="1543"/>
      <c r="AE46" s="1543"/>
    </row>
    <row r="47" spans="1:31" ht="11.25" customHeight="1">
      <c r="D47" s="1549"/>
    </row>
    <row r="48" spans="1:31" ht="26.25" customHeight="1">
      <c r="D48" s="1549"/>
      <c r="E48" s="1164"/>
      <c r="F48" s="6783"/>
      <c r="G48" s="6783"/>
      <c r="H48" s="6783"/>
      <c r="I48" s="6783"/>
      <c r="J48" s="6783"/>
    </row>
    <row r="49" spans="1:31" s="6503" customFormat="1" ht="37.5" customHeight="1">
      <c r="A49" s="895"/>
      <c r="B49" s="1547"/>
      <c r="C49" s="1547"/>
      <c r="D49" s="276"/>
      <c r="F49" s="6783"/>
      <c r="G49" s="6783"/>
      <c r="H49" s="6783"/>
      <c r="I49" s="6783"/>
      <c r="J49" s="6783"/>
      <c r="K49" s="1060"/>
      <c r="L49" s="1547"/>
      <c r="M49" s="1547"/>
      <c r="N49" s="1060"/>
      <c r="O49" s="1060"/>
      <c r="P49" s="1060"/>
      <c r="Q49" s="1060"/>
      <c r="R49" s="1547"/>
      <c r="S49" s="1060"/>
      <c r="T49" s="1060"/>
      <c r="U49" s="469"/>
      <c r="V49" s="1060"/>
      <c r="W49" s="1060"/>
      <c r="X49" s="1060"/>
      <c r="Y49" s="1060"/>
      <c r="Z49" s="1060"/>
      <c r="AA49" s="1543"/>
      <c r="AB49" s="491"/>
      <c r="AC49" s="491"/>
      <c r="AD49" s="491"/>
      <c r="AE49" s="491"/>
    </row>
    <row r="50" spans="1:31" s="6503" customFormat="1" ht="11.25" customHeight="1">
      <c r="A50" s="895"/>
      <c r="B50" s="1547"/>
      <c r="C50" s="1547"/>
      <c r="D50" s="276"/>
      <c r="K50" s="1060"/>
      <c r="L50" s="1547"/>
      <c r="M50" s="1547"/>
      <c r="N50" s="1060"/>
      <c r="O50" s="1060"/>
      <c r="P50" s="1060"/>
      <c r="Q50" s="1060"/>
      <c r="R50" s="1547"/>
      <c r="S50" s="1060"/>
      <c r="T50" s="1060"/>
      <c r="U50" s="469"/>
      <c r="V50" s="1060"/>
      <c r="W50" s="1060"/>
      <c r="X50" s="1060"/>
      <c r="Y50" s="1060"/>
      <c r="Z50" s="1060"/>
      <c r="AA50" s="1543"/>
      <c r="AB50" s="491"/>
      <c r="AC50" s="491"/>
      <c r="AD50" s="491"/>
      <c r="AE50" s="491"/>
    </row>
    <row r="51" spans="1:31" s="6503" customFormat="1" ht="11.25" customHeight="1">
      <c r="A51" s="895"/>
      <c r="B51" s="1547"/>
      <c r="C51" s="1547"/>
      <c r="D51" s="276"/>
      <c r="K51" s="1060"/>
      <c r="L51" s="1547"/>
      <c r="M51" s="1547"/>
      <c r="N51" s="1060"/>
      <c r="O51" s="1060"/>
      <c r="P51" s="1060"/>
      <c r="Q51" s="1060"/>
      <c r="R51" s="1547"/>
      <c r="S51" s="1060"/>
      <c r="T51" s="1060"/>
      <c r="U51" s="469"/>
      <c r="V51" s="1060"/>
      <c r="W51" s="1060"/>
      <c r="X51" s="1060"/>
      <c r="Y51" s="1060"/>
      <c r="Z51" s="1060"/>
      <c r="AA51" s="1543"/>
      <c r="AB51" s="491"/>
      <c r="AC51" s="491"/>
      <c r="AD51" s="491"/>
      <c r="AE51" s="491"/>
    </row>
    <row r="52" spans="1:31" s="6503" customFormat="1" ht="11.25" customHeight="1">
      <c r="A52" s="895"/>
      <c r="B52" s="1547"/>
      <c r="C52" s="1547"/>
      <c r="D52" s="276"/>
      <c r="H52" s="491"/>
      <c r="I52" s="491"/>
      <c r="K52" s="1060"/>
      <c r="L52" s="1547"/>
      <c r="M52" s="1547"/>
      <c r="N52" s="1060"/>
      <c r="O52" s="1060"/>
      <c r="P52" s="1060"/>
      <c r="Q52" s="1060"/>
      <c r="R52" s="1547"/>
      <c r="S52" s="1060"/>
      <c r="T52" s="1060"/>
      <c r="U52" s="469"/>
      <c r="V52" s="1060"/>
      <c r="W52" s="1060"/>
      <c r="X52" s="1060"/>
      <c r="Y52" s="1060"/>
      <c r="Z52" s="1060"/>
      <c r="AA52" s="1543"/>
      <c r="AB52" s="491"/>
      <c r="AC52" s="491"/>
      <c r="AD52" s="491"/>
      <c r="AE52" s="491"/>
    </row>
    <row r="53" spans="1:31" s="6503" customFormat="1" ht="11.25" customHeight="1">
      <c r="A53" s="895"/>
      <c r="B53" s="1547"/>
      <c r="C53" s="1547"/>
      <c r="D53" s="276"/>
      <c r="K53" s="1060"/>
      <c r="L53" s="1547"/>
      <c r="M53" s="1547"/>
      <c r="N53" s="1060"/>
      <c r="O53" s="1060"/>
      <c r="P53" s="1060"/>
      <c r="Q53" s="1060"/>
      <c r="R53" s="1547"/>
      <c r="S53" s="1060"/>
      <c r="T53" s="1060"/>
      <c r="U53" s="469"/>
      <c r="V53" s="1060"/>
      <c r="W53" s="1060"/>
      <c r="X53" s="1060"/>
      <c r="Y53" s="1060"/>
      <c r="Z53" s="1060"/>
      <c r="AA53" s="1543"/>
      <c r="AB53" s="491"/>
      <c r="AC53" s="491"/>
      <c r="AD53" s="491"/>
      <c r="AE53" s="491"/>
    </row>
    <row r="54" spans="1:31" s="6503" customFormat="1" ht="11.25" customHeight="1">
      <c r="A54" s="895"/>
      <c r="B54" s="1547"/>
      <c r="C54" s="1547"/>
      <c r="D54" s="276"/>
      <c r="K54" s="1060"/>
      <c r="L54" s="1547"/>
      <c r="M54" s="1547"/>
      <c r="N54" s="1060"/>
      <c r="O54" s="1060"/>
      <c r="P54" s="1060"/>
      <c r="Q54" s="1060"/>
      <c r="R54" s="1547"/>
      <c r="S54" s="1060"/>
      <c r="T54" s="1060"/>
      <c r="U54" s="469"/>
      <c r="V54" s="1060"/>
      <c r="W54" s="1060"/>
      <c r="X54" s="1060"/>
      <c r="Y54" s="1060"/>
      <c r="Z54" s="1060"/>
      <c r="AA54" s="1543"/>
      <c r="AB54" s="491"/>
      <c r="AC54" s="491"/>
      <c r="AD54" s="491"/>
      <c r="AE54" s="491"/>
    </row>
    <row r="55" spans="1:31" s="6503" customFormat="1" ht="11.25" customHeight="1">
      <c r="A55" s="895"/>
      <c r="B55" s="1547"/>
      <c r="C55" s="1547"/>
      <c r="D55" s="276"/>
      <c r="K55" s="1060"/>
      <c r="L55" s="1547"/>
      <c r="M55" s="1547"/>
      <c r="N55" s="1060"/>
      <c r="O55" s="1060"/>
      <c r="P55" s="1060"/>
      <c r="Q55" s="1060"/>
      <c r="R55" s="1547"/>
      <c r="S55" s="1060"/>
      <c r="T55" s="1060"/>
      <c r="U55" s="469"/>
      <c r="V55" s="1060"/>
      <c r="W55" s="1060"/>
      <c r="X55" s="1060"/>
      <c r="Y55" s="1060"/>
      <c r="Z55" s="1060"/>
      <c r="AA55" s="1543"/>
      <c r="AB55" s="491"/>
      <c r="AC55" s="491"/>
      <c r="AD55" s="491"/>
      <c r="AE55" s="491"/>
    </row>
    <row r="56" spans="1:31" s="6503" customFormat="1" ht="11.25" customHeight="1">
      <c r="A56" s="895"/>
      <c r="B56" s="1547"/>
      <c r="C56" s="1547"/>
      <c r="D56" s="276"/>
      <c r="K56" s="1060"/>
      <c r="L56" s="1547"/>
      <c r="M56" s="1547"/>
      <c r="N56" s="1060"/>
      <c r="O56" s="1060"/>
      <c r="P56" s="1060"/>
      <c r="Q56" s="1060"/>
      <c r="R56" s="1547"/>
      <c r="S56" s="1060"/>
      <c r="T56" s="1060"/>
      <c r="U56" s="469"/>
      <c r="V56" s="1060"/>
      <c r="W56" s="1060"/>
      <c r="X56" s="1060"/>
      <c r="Y56" s="1060"/>
      <c r="Z56" s="1060"/>
      <c r="AA56" s="1543"/>
      <c r="AB56" s="491"/>
      <c r="AC56" s="491"/>
      <c r="AD56" s="491"/>
      <c r="AE56" s="491"/>
    </row>
    <row r="57" spans="1:31" s="6503" customFormat="1" ht="11.25" customHeight="1">
      <c r="A57" s="895"/>
      <c r="B57" s="1547"/>
      <c r="C57" s="1547"/>
      <c r="D57" s="276"/>
      <c r="K57" s="1060"/>
      <c r="L57" s="1547"/>
      <c r="M57" s="1547"/>
      <c r="N57" s="1060"/>
      <c r="O57" s="1060"/>
      <c r="P57" s="1060"/>
      <c r="Q57" s="1060"/>
      <c r="R57" s="1547"/>
      <c r="S57" s="1060"/>
      <c r="T57" s="1060"/>
      <c r="U57" s="469"/>
      <c r="V57" s="1060"/>
      <c r="W57" s="1060"/>
      <c r="X57" s="1060"/>
      <c r="Y57" s="1060"/>
      <c r="Z57" s="1060"/>
      <c r="AA57" s="1543"/>
      <c r="AB57" s="491"/>
      <c r="AC57" s="491"/>
      <c r="AD57" s="491"/>
      <c r="AE57" s="491"/>
    </row>
    <row r="58" spans="1:31" s="6503" customFormat="1" ht="11.25" customHeight="1">
      <c r="A58" s="895"/>
      <c r="B58" s="1547"/>
      <c r="C58" s="1547"/>
      <c r="D58" s="276"/>
      <c r="K58" s="1060"/>
      <c r="L58" s="1547"/>
      <c r="M58" s="1547"/>
      <c r="N58" s="1060"/>
      <c r="O58" s="1060"/>
      <c r="P58" s="1060"/>
      <c r="Q58" s="1060"/>
      <c r="R58" s="1547"/>
      <c r="S58" s="1060"/>
      <c r="T58" s="1060"/>
      <c r="U58" s="469"/>
      <c r="V58" s="1060"/>
      <c r="W58" s="1060"/>
      <c r="X58" s="1060"/>
      <c r="Y58" s="1060"/>
      <c r="Z58" s="1060"/>
      <c r="AA58" s="1543"/>
      <c r="AB58" s="491"/>
      <c r="AC58" s="491"/>
      <c r="AD58" s="491"/>
      <c r="AE58" s="491"/>
    </row>
    <row r="59" spans="1:31" s="6503" customFormat="1" ht="11.25" customHeight="1">
      <c r="A59" s="895"/>
      <c r="B59" s="1547"/>
      <c r="C59" s="1547"/>
      <c r="D59" s="276"/>
      <c r="K59" s="1060"/>
      <c r="L59" s="1547"/>
      <c r="M59" s="1547"/>
      <c r="N59" s="1060"/>
      <c r="O59" s="1060"/>
      <c r="P59" s="1060"/>
      <c r="Q59" s="1060"/>
      <c r="R59" s="1547"/>
      <c r="S59" s="1060"/>
      <c r="T59" s="1060"/>
      <c r="U59" s="469"/>
      <c r="V59" s="1060"/>
      <c r="W59" s="1060"/>
      <c r="X59" s="1060"/>
      <c r="Y59" s="1060"/>
      <c r="Z59" s="1060"/>
      <c r="AA59" s="1543"/>
      <c r="AB59" s="491"/>
      <c r="AC59" s="491"/>
      <c r="AD59" s="491"/>
      <c r="AE59" s="491"/>
    </row>
    <row r="60" spans="1:31" s="6503" customFormat="1" ht="11.25" customHeight="1">
      <c r="A60" s="895"/>
      <c r="B60" s="1547"/>
      <c r="C60" s="1547"/>
      <c r="D60" s="276"/>
      <c r="K60" s="1060"/>
      <c r="L60" s="1547"/>
      <c r="M60" s="1547"/>
      <c r="N60" s="1060"/>
      <c r="O60" s="1060"/>
      <c r="P60" s="1060"/>
      <c r="Q60" s="1060"/>
      <c r="R60" s="1547"/>
      <c r="S60" s="1060"/>
      <c r="T60" s="1060"/>
      <c r="U60" s="469"/>
      <c r="V60" s="1060"/>
      <c r="W60" s="1060"/>
      <c r="X60" s="1060"/>
      <c r="Y60" s="1060"/>
      <c r="Z60" s="1060"/>
      <c r="AA60" s="1543"/>
      <c r="AB60" s="491"/>
      <c r="AC60" s="491"/>
      <c r="AD60" s="491"/>
      <c r="AE60" s="491"/>
    </row>
    <row r="61" spans="1:31" s="6503" customFormat="1" ht="11.25" customHeight="1">
      <c r="A61" s="895"/>
      <c r="B61" s="1547"/>
      <c r="C61" s="1547"/>
      <c r="D61" s="276"/>
      <c r="K61" s="1060"/>
      <c r="L61" s="1547"/>
      <c r="M61" s="1547"/>
      <c r="N61" s="1060"/>
      <c r="O61" s="1060"/>
      <c r="P61" s="1060"/>
      <c r="Q61" s="1060"/>
      <c r="R61" s="1547"/>
      <c r="S61" s="1060"/>
      <c r="T61" s="1060"/>
      <c r="U61" s="469"/>
      <c r="V61" s="1060"/>
      <c r="W61" s="1060"/>
      <c r="X61" s="1060"/>
      <c r="Y61" s="1060"/>
      <c r="Z61" s="1060"/>
      <c r="AA61" s="1543"/>
      <c r="AB61" s="491"/>
      <c r="AC61" s="491"/>
      <c r="AD61" s="491"/>
      <c r="AE61" s="491"/>
    </row>
    <row r="62" spans="1:31" s="6503" customFormat="1" ht="11.25" customHeight="1">
      <c r="A62" s="895"/>
      <c r="B62" s="1547"/>
      <c r="C62" s="1547"/>
      <c r="D62" s="276"/>
      <c r="K62" s="1060"/>
      <c r="L62" s="1547"/>
      <c r="M62" s="1547"/>
      <c r="N62" s="1060"/>
      <c r="O62" s="1060"/>
      <c r="P62" s="1060"/>
      <c r="Q62" s="1060"/>
      <c r="R62" s="1547"/>
      <c r="S62" s="1060"/>
      <c r="T62" s="1060"/>
      <c r="U62" s="469"/>
      <c r="V62" s="1060"/>
      <c r="W62" s="1060"/>
      <c r="X62" s="1060"/>
      <c r="Y62" s="1060"/>
      <c r="Z62" s="1060"/>
      <c r="AA62" s="1543"/>
      <c r="AB62" s="491"/>
      <c r="AC62" s="491"/>
      <c r="AD62" s="491"/>
      <c r="AE62" s="491"/>
    </row>
    <row r="63" spans="1:31" s="6503" customFormat="1" ht="11.25" customHeight="1">
      <c r="A63" s="895"/>
      <c r="B63" s="1547"/>
      <c r="C63" s="1547"/>
      <c r="D63" s="276"/>
      <c r="K63" s="1060"/>
      <c r="L63" s="1547"/>
      <c r="M63" s="1547"/>
      <c r="N63" s="1060"/>
      <c r="O63" s="1060"/>
      <c r="P63" s="1060"/>
      <c r="Q63" s="1060"/>
      <c r="R63" s="1547"/>
      <c r="S63" s="1060"/>
      <c r="T63" s="1060"/>
      <c r="U63" s="469"/>
      <c r="V63" s="1060"/>
      <c r="W63" s="1060"/>
      <c r="X63" s="1060"/>
      <c r="Y63" s="1060"/>
      <c r="Z63" s="1060"/>
      <c r="AA63" s="1543"/>
      <c r="AB63" s="491"/>
      <c r="AC63" s="491"/>
      <c r="AD63" s="491"/>
      <c r="AE63" s="491"/>
    </row>
    <row r="64" spans="1:31" s="6503" customFormat="1" ht="11.25" customHeight="1">
      <c r="A64" s="895"/>
      <c r="B64" s="1547"/>
      <c r="C64" s="1547"/>
      <c r="D64" s="276"/>
      <c r="K64" s="1060"/>
      <c r="L64" s="1547"/>
      <c r="M64" s="1547"/>
      <c r="N64" s="1060"/>
      <c r="O64" s="1060"/>
      <c r="P64" s="1060"/>
      <c r="Q64" s="1060"/>
      <c r="R64" s="1547"/>
      <c r="S64" s="1060"/>
      <c r="T64" s="1060"/>
      <c r="U64" s="469"/>
      <c r="V64" s="1060"/>
      <c r="W64" s="1060"/>
      <c r="X64" s="1060"/>
      <c r="Y64" s="1060"/>
      <c r="Z64" s="1060"/>
      <c r="AA64" s="1543"/>
      <c r="AB64" s="491"/>
      <c r="AC64" s="491"/>
      <c r="AD64" s="491"/>
      <c r="AE64" s="491"/>
    </row>
    <row r="65" spans="1:31" s="6503" customFormat="1" ht="11.25" customHeight="1">
      <c r="A65" s="895"/>
      <c r="B65" s="1547"/>
      <c r="C65" s="1547"/>
      <c r="D65" s="276"/>
      <c r="K65" s="1060"/>
      <c r="L65" s="1547"/>
      <c r="M65" s="1547"/>
      <c r="N65" s="1060"/>
      <c r="O65" s="1060"/>
      <c r="P65" s="1060"/>
      <c r="Q65" s="1060"/>
      <c r="R65" s="1547"/>
      <c r="S65" s="1060"/>
      <c r="T65" s="1060"/>
      <c r="U65" s="469"/>
      <c r="V65" s="1060"/>
      <c r="W65" s="1060"/>
      <c r="X65" s="1060"/>
      <c r="Y65" s="1060"/>
      <c r="Z65" s="1060"/>
      <c r="AA65" s="1543"/>
      <c r="AB65" s="491"/>
      <c r="AC65" s="491"/>
      <c r="AD65" s="491"/>
      <c r="AE65" s="491"/>
    </row>
    <row r="66" spans="1:31" s="6503" customFormat="1" ht="11.25" customHeight="1">
      <c r="A66" s="895"/>
      <c r="B66" s="1547"/>
      <c r="C66" s="1547"/>
      <c r="D66" s="276"/>
      <c r="K66" s="1060"/>
      <c r="L66" s="1547"/>
      <c r="M66" s="1547"/>
      <c r="N66" s="1060"/>
      <c r="O66" s="1060"/>
      <c r="P66" s="1060"/>
      <c r="Q66" s="1060"/>
      <c r="R66" s="1547"/>
      <c r="S66" s="1060"/>
      <c r="T66" s="1060"/>
      <c r="U66" s="469"/>
      <c r="V66" s="1060"/>
      <c r="W66" s="1060"/>
      <c r="X66" s="1060"/>
      <c r="Y66" s="1060"/>
      <c r="Z66" s="1060"/>
      <c r="AA66" s="1543"/>
      <c r="AB66" s="491"/>
      <c r="AC66" s="491"/>
      <c r="AD66" s="491"/>
      <c r="AE66" s="491"/>
    </row>
    <row r="67" spans="1:31" s="6503" customFormat="1" ht="11.25" customHeight="1">
      <c r="A67" s="895"/>
      <c r="B67" s="1547"/>
      <c r="C67" s="1547"/>
      <c r="D67" s="276"/>
      <c r="K67" s="1060"/>
      <c r="L67" s="1547"/>
      <c r="M67" s="1547"/>
      <c r="N67" s="1060"/>
      <c r="O67" s="1060"/>
      <c r="P67" s="1060"/>
      <c r="Q67" s="1060"/>
      <c r="R67" s="1547"/>
      <c r="S67" s="1060"/>
      <c r="T67" s="1060"/>
      <c r="U67" s="469"/>
      <c r="V67" s="1060"/>
      <c r="W67" s="1060"/>
      <c r="X67" s="1060"/>
      <c r="Y67" s="1060"/>
      <c r="Z67" s="1060"/>
      <c r="AA67" s="1543"/>
      <c r="AB67" s="491"/>
      <c r="AC67" s="491"/>
      <c r="AD67" s="491"/>
      <c r="AE67" s="491"/>
    </row>
    <row r="68" spans="1:31" s="6503" customFormat="1" ht="11.25" customHeight="1">
      <c r="A68" s="895"/>
      <c r="B68" s="1547"/>
      <c r="C68" s="1547"/>
      <c r="D68" s="276"/>
      <c r="K68" s="1060"/>
      <c r="L68" s="1547"/>
      <c r="M68" s="1547"/>
      <c r="N68" s="1060"/>
      <c r="O68" s="1060"/>
      <c r="P68" s="1060"/>
      <c r="Q68" s="1060"/>
      <c r="R68" s="1547"/>
      <c r="S68" s="1060"/>
      <c r="T68" s="1060"/>
      <c r="U68" s="469"/>
      <c r="V68" s="1060"/>
      <c r="W68" s="1060"/>
      <c r="X68" s="1060"/>
      <c r="Y68" s="1060"/>
      <c r="Z68" s="1060"/>
      <c r="AA68" s="1543"/>
      <c r="AB68" s="491"/>
      <c r="AC68" s="491"/>
      <c r="AD68" s="491"/>
      <c r="AE68" s="491"/>
    </row>
    <row r="69" spans="1:31" s="6503" customFormat="1" ht="11.25" customHeight="1">
      <c r="A69" s="895"/>
      <c r="B69" s="1547"/>
      <c r="C69" s="1547"/>
      <c r="D69" s="276"/>
      <c r="K69" s="1060"/>
      <c r="L69" s="1547"/>
      <c r="M69" s="1547"/>
      <c r="N69" s="1060"/>
      <c r="O69" s="1060"/>
      <c r="P69" s="1060"/>
      <c r="Q69" s="1060"/>
      <c r="R69" s="1547"/>
      <c r="S69" s="1060"/>
      <c r="T69" s="1060"/>
      <c r="U69" s="469"/>
      <c r="V69" s="1060"/>
      <c r="W69" s="1060"/>
      <c r="X69" s="1060"/>
      <c r="Y69" s="1060"/>
      <c r="Z69" s="1060"/>
      <c r="AA69" s="1543"/>
      <c r="AB69" s="491"/>
      <c r="AC69" s="491"/>
      <c r="AD69" s="491"/>
      <c r="AE69" s="491"/>
    </row>
    <row r="70" spans="1:31" s="6503" customFormat="1" ht="11.25" customHeight="1">
      <c r="A70" s="895"/>
      <c r="B70" s="1547"/>
      <c r="C70" s="1547"/>
      <c r="D70" s="276"/>
      <c r="K70" s="1060"/>
      <c r="L70" s="1547"/>
      <c r="M70" s="1547"/>
      <c r="N70" s="1060"/>
      <c r="O70" s="1060"/>
      <c r="P70" s="1060"/>
      <c r="Q70" s="1060"/>
      <c r="R70" s="1547"/>
      <c r="S70" s="1060"/>
      <c r="T70" s="1060"/>
      <c r="U70" s="469"/>
      <c r="V70" s="1060"/>
      <c r="W70" s="1060"/>
      <c r="X70" s="1060"/>
      <c r="Y70" s="1060"/>
      <c r="Z70" s="1060"/>
      <c r="AA70" s="1543"/>
      <c r="AB70" s="491"/>
      <c r="AC70" s="491"/>
      <c r="AD70" s="491"/>
      <c r="AE70" s="491"/>
    </row>
    <row r="71" spans="1:31" s="6503" customFormat="1" ht="11.25" customHeight="1">
      <c r="A71" s="895"/>
      <c r="B71" s="1547"/>
      <c r="C71" s="1547"/>
      <c r="D71" s="276"/>
      <c r="K71" s="1060"/>
      <c r="L71" s="1547"/>
      <c r="M71" s="1547"/>
      <c r="N71" s="1060"/>
      <c r="O71" s="1060"/>
      <c r="P71" s="1060"/>
      <c r="Q71" s="1060"/>
      <c r="R71" s="1547"/>
      <c r="S71" s="1060"/>
      <c r="T71" s="1060"/>
      <c r="U71" s="469"/>
      <c r="V71" s="1060"/>
      <c r="W71" s="1060"/>
      <c r="X71" s="1060"/>
      <c r="Y71" s="1060"/>
      <c r="Z71" s="1060"/>
      <c r="AA71" s="1543"/>
      <c r="AB71" s="491"/>
      <c r="AC71" s="491"/>
      <c r="AD71" s="491"/>
      <c r="AE71" s="491"/>
    </row>
    <row r="72" spans="1:31" s="6503" customFormat="1" ht="11.25" customHeight="1">
      <c r="A72" s="895"/>
      <c r="B72" s="1547"/>
      <c r="C72" s="1547"/>
      <c r="D72" s="276"/>
      <c r="K72" s="1060"/>
      <c r="L72" s="1547"/>
      <c r="M72" s="1547"/>
      <c r="N72" s="1060"/>
      <c r="O72" s="1060"/>
      <c r="P72" s="1060"/>
      <c r="Q72" s="1060"/>
      <c r="R72" s="1547"/>
      <c r="S72" s="1060"/>
      <c r="T72" s="1060"/>
      <c r="U72" s="469"/>
      <c r="V72" s="1060"/>
      <c r="W72" s="1060"/>
      <c r="X72" s="1060"/>
      <c r="Y72" s="1060"/>
      <c r="Z72" s="1060"/>
      <c r="AA72" s="1543"/>
      <c r="AB72" s="491"/>
      <c r="AC72" s="491"/>
      <c r="AD72" s="491"/>
      <c r="AE72" s="491"/>
    </row>
    <row r="73" spans="1:31" s="6503" customFormat="1" ht="11.25" customHeight="1">
      <c r="A73" s="895"/>
      <c r="B73" s="1547"/>
      <c r="C73" s="1547"/>
      <c r="D73" s="276"/>
      <c r="K73" s="1060"/>
      <c r="L73" s="1547"/>
      <c r="M73" s="1547"/>
      <c r="N73" s="1060"/>
      <c r="O73" s="1060"/>
      <c r="P73" s="1060"/>
      <c r="Q73" s="1060"/>
      <c r="R73" s="1547"/>
      <c r="S73" s="1060"/>
      <c r="T73" s="1060"/>
      <c r="U73" s="469"/>
      <c r="V73" s="1060"/>
      <c r="W73" s="1060"/>
      <c r="X73" s="1060"/>
      <c r="Y73" s="1060"/>
      <c r="Z73" s="1060"/>
      <c r="AA73" s="1543"/>
      <c r="AB73" s="491"/>
      <c r="AC73" s="491"/>
      <c r="AD73" s="491"/>
      <c r="AE73" s="491"/>
    </row>
    <row r="74" spans="1:31" s="6503" customFormat="1" ht="11.25" customHeight="1">
      <c r="A74" s="895"/>
      <c r="B74" s="1547"/>
      <c r="C74" s="1547"/>
      <c r="D74" s="276"/>
      <c r="K74" s="1060"/>
      <c r="L74" s="1547"/>
      <c r="M74" s="1547"/>
      <c r="N74" s="1060"/>
      <c r="O74" s="1060"/>
      <c r="P74" s="1060"/>
      <c r="Q74" s="1060"/>
      <c r="R74" s="1547"/>
      <c r="S74" s="1060"/>
      <c r="T74" s="1060"/>
      <c r="U74" s="469"/>
      <c r="V74" s="1060"/>
      <c r="W74" s="1060"/>
      <c r="X74" s="1060"/>
      <c r="Y74" s="1060"/>
      <c r="Z74" s="1060"/>
      <c r="AA74" s="1543"/>
      <c r="AB74" s="491"/>
      <c r="AC74" s="491"/>
      <c r="AD74" s="491"/>
      <c r="AE74" s="491"/>
    </row>
    <row r="75" spans="1:31" s="6503" customFormat="1" ht="11.25" customHeight="1">
      <c r="A75" s="895"/>
      <c r="B75" s="1547"/>
      <c r="C75" s="1547"/>
      <c r="D75" s="276"/>
      <c r="K75" s="1060"/>
      <c r="L75" s="1547"/>
      <c r="M75" s="1547"/>
      <c r="N75" s="1060"/>
      <c r="O75" s="1060"/>
      <c r="P75" s="1060"/>
      <c r="Q75" s="1060"/>
      <c r="R75" s="1547"/>
      <c r="S75" s="1060"/>
      <c r="T75" s="1060"/>
      <c r="U75" s="469"/>
      <c r="V75" s="1060"/>
      <c r="W75" s="1060"/>
      <c r="X75" s="1060"/>
      <c r="Y75" s="1060"/>
      <c r="Z75" s="1060"/>
      <c r="AA75" s="1543"/>
      <c r="AB75" s="491"/>
      <c r="AC75" s="491"/>
      <c r="AD75" s="491"/>
      <c r="AE75" s="491"/>
    </row>
    <row r="76" spans="1:31" s="6503" customFormat="1" ht="11.25" customHeight="1">
      <c r="A76" s="895"/>
      <c r="B76" s="1547"/>
      <c r="C76" s="1547"/>
      <c r="D76" s="276"/>
      <c r="K76" s="1060"/>
      <c r="L76" s="1547"/>
      <c r="M76" s="1547"/>
      <c r="N76" s="1060"/>
      <c r="O76" s="1060"/>
      <c r="P76" s="1060"/>
      <c r="Q76" s="1060"/>
      <c r="R76" s="1547"/>
      <c r="S76" s="1060"/>
      <c r="T76" s="1060"/>
      <c r="U76" s="469"/>
      <c r="V76" s="1060"/>
      <c r="W76" s="1060"/>
      <c r="X76" s="1060"/>
      <c r="Y76" s="1060"/>
      <c r="Z76" s="1060"/>
      <c r="AA76" s="1543"/>
      <c r="AB76" s="491"/>
      <c r="AC76" s="491"/>
      <c r="AD76" s="491"/>
      <c r="AE76" s="491"/>
    </row>
    <row r="77" spans="1:31" s="6503" customFormat="1" ht="11.25" customHeight="1">
      <c r="A77" s="895"/>
      <c r="B77" s="1547"/>
      <c r="C77" s="1547"/>
      <c r="D77" s="276"/>
      <c r="K77" s="1060"/>
      <c r="L77" s="1547"/>
      <c r="M77" s="1547"/>
      <c r="N77" s="1060"/>
      <c r="O77" s="1060"/>
      <c r="P77" s="1060"/>
      <c r="Q77" s="1060"/>
      <c r="R77" s="1547"/>
      <c r="S77" s="1060"/>
      <c r="T77" s="1060"/>
      <c r="U77" s="469"/>
      <c r="V77" s="1060"/>
      <c r="W77" s="1060"/>
      <c r="X77" s="1060"/>
      <c r="Y77" s="1060"/>
      <c r="Z77" s="1060"/>
      <c r="AA77" s="1543"/>
      <c r="AB77" s="491"/>
      <c r="AC77" s="491"/>
      <c r="AD77" s="491"/>
      <c r="AE77" s="491"/>
    </row>
    <row r="78" spans="1:31" s="6503" customFormat="1" ht="11.25" customHeight="1">
      <c r="A78" s="895"/>
      <c r="B78" s="1547"/>
      <c r="C78" s="1547"/>
      <c r="D78" s="276"/>
      <c r="K78" s="1060"/>
      <c r="L78" s="1547"/>
      <c r="M78" s="1547"/>
      <c r="N78" s="1060"/>
      <c r="O78" s="1060"/>
      <c r="P78" s="1060"/>
      <c r="Q78" s="1060"/>
      <c r="R78" s="1547"/>
      <c r="S78" s="1060"/>
      <c r="T78" s="1060"/>
      <c r="U78" s="469"/>
      <c r="V78" s="1060"/>
      <c r="W78" s="1060"/>
      <c r="X78" s="1060"/>
      <c r="Y78" s="1060"/>
      <c r="Z78" s="1060"/>
      <c r="AA78" s="1543"/>
      <c r="AB78" s="491"/>
      <c r="AC78" s="491"/>
      <c r="AD78" s="491"/>
      <c r="AE78" s="491"/>
    </row>
    <row r="79" spans="1:31" s="6503" customFormat="1" ht="11.25" customHeight="1">
      <c r="A79" s="895"/>
      <c r="B79" s="1547"/>
      <c r="C79" s="1547"/>
      <c r="D79" s="276"/>
      <c r="K79" s="1060"/>
      <c r="L79" s="1547"/>
      <c r="M79" s="1547"/>
      <c r="N79" s="1060"/>
      <c r="O79" s="1060"/>
      <c r="P79" s="1060"/>
      <c r="Q79" s="1060"/>
      <c r="R79" s="1547"/>
      <c r="S79" s="1060"/>
      <c r="T79" s="1060"/>
      <c r="U79" s="469"/>
      <c r="V79" s="1060"/>
      <c r="W79" s="1060"/>
      <c r="X79" s="1060"/>
      <c r="Y79" s="1060"/>
      <c r="Z79" s="1060"/>
      <c r="AA79" s="1543"/>
      <c r="AB79" s="491"/>
      <c r="AC79" s="491"/>
      <c r="AD79" s="491"/>
      <c r="AE79" s="491"/>
    </row>
    <row r="80" spans="1:31" s="6503" customFormat="1" ht="11.25" customHeight="1">
      <c r="A80" s="895"/>
      <c r="B80" s="1547"/>
      <c r="C80" s="1547"/>
      <c r="D80" s="276"/>
      <c r="K80" s="1060"/>
      <c r="L80" s="1547"/>
      <c r="M80" s="1547"/>
      <c r="N80" s="1060"/>
      <c r="O80" s="1060"/>
      <c r="P80" s="1060"/>
      <c r="Q80" s="1060"/>
      <c r="R80" s="1547"/>
      <c r="S80" s="1060"/>
      <c r="T80" s="1060"/>
      <c r="U80" s="469"/>
      <c r="V80" s="1060"/>
      <c r="W80" s="1060"/>
      <c r="X80" s="1060"/>
      <c r="Y80" s="1060"/>
      <c r="Z80" s="1060"/>
      <c r="AA80" s="1543"/>
      <c r="AB80" s="491"/>
      <c r="AC80" s="491"/>
      <c r="AD80" s="491"/>
      <c r="AE80" s="491"/>
    </row>
    <row r="81" spans="1:31" s="6503" customFormat="1" ht="11.25" customHeight="1">
      <c r="A81" s="895"/>
      <c r="B81" s="1547"/>
      <c r="C81" s="1547"/>
      <c r="D81" s="276"/>
      <c r="K81" s="1060"/>
      <c r="L81" s="1547"/>
      <c r="M81" s="1547"/>
      <c r="N81" s="1060"/>
      <c r="O81" s="1060"/>
      <c r="P81" s="1060"/>
      <c r="Q81" s="1060"/>
      <c r="R81" s="1547"/>
      <c r="S81" s="1060"/>
      <c r="T81" s="1060"/>
      <c r="U81" s="469"/>
      <c r="V81" s="1060"/>
      <c r="W81" s="1060"/>
      <c r="X81" s="1060"/>
      <c r="Y81" s="1060"/>
      <c r="Z81" s="1060"/>
      <c r="AA81" s="1543"/>
      <c r="AB81" s="491"/>
      <c r="AC81" s="491"/>
      <c r="AD81" s="491"/>
      <c r="AE81" s="491"/>
    </row>
    <row r="82" spans="1:31" s="6503" customFormat="1" ht="11.25" customHeight="1">
      <c r="A82" s="895"/>
      <c r="B82" s="1547"/>
      <c r="C82" s="1547"/>
      <c r="D82" s="276"/>
      <c r="K82" s="1060"/>
      <c r="L82" s="1547"/>
      <c r="M82" s="1547"/>
      <c r="N82" s="1060"/>
      <c r="O82" s="1060"/>
      <c r="P82" s="1060"/>
      <c r="Q82" s="1060"/>
      <c r="R82" s="1547"/>
      <c r="S82" s="1060"/>
      <c r="T82" s="1060"/>
      <c r="U82" s="469"/>
      <c r="V82" s="1060"/>
      <c r="W82" s="1060"/>
      <c r="X82" s="1060"/>
      <c r="Y82" s="1060"/>
      <c r="Z82" s="1060"/>
      <c r="AA82" s="1543"/>
      <c r="AB82" s="491"/>
      <c r="AC82" s="491"/>
      <c r="AD82" s="491"/>
      <c r="AE82" s="491"/>
    </row>
    <row r="83" spans="1:31" s="6503" customFormat="1" ht="11.25" customHeight="1">
      <c r="A83" s="895"/>
      <c r="B83" s="1547"/>
      <c r="C83" s="1547"/>
      <c r="D83" s="276"/>
      <c r="K83" s="1060"/>
      <c r="L83" s="1547"/>
      <c r="M83" s="1547"/>
      <c r="N83" s="1060"/>
      <c r="O83" s="1060"/>
      <c r="P83" s="1060"/>
      <c r="Q83" s="1060"/>
      <c r="R83" s="1547"/>
      <c r="S83" s="1060"/>
      <c r="T83" s="1060"/>
      <c r="U83" s="469"/>
      <c r="V83" s="1060"/>
      <c r="W83" s="1060"/>
      <c r="X83" s="1060"/>
      <c r="Y83" s="1060"/>
      <c r="Z83" s="1060"/>
      <c r="AA83" s="1543"/>
      <c r="AB83" s="491"/>
      <c r="AC83" s="491"/>
      <c r="AD83" s="491"/>
      <c r="AE83" s="491"/>
    </row>
    <row r="84" spans="1:31" s="6503" customFormat="1" ht="11.25" customHeight="1">
      <c r="A84" s="895"/>
      <c r="B84" s="1547"/>
      <c r="C84" s="1547"/>
      <c r="D84" s="276"/>
      <c r="K84" s="1060"/>
      <c r="L84" s="1547"/>
      <c r="M84" s="1547"/>
      <c r="N84" s="1060"/>
      <c r="O84" s="1060"/>
      <c r="P84" s="1060"/>
      <c r="Q84" s="1060"/>
      <c r="R84" s="1547"/>
      <c r="S84" s="1060"/>
      <c r="T84" s="1060"/>
      <c r="U84" s="469"/>
      <c r="V84" s="1060"/>
      <c r="W84" s="1060"/>
      <c r="X84" s="1060"/>
      <c r="Y84" s="1060"/>
      <c r="Z84" s="1060"/>
      <c r="AA84" s="1543"/>
      <c r="AB84" s="491"/>
      <c r="AC84" s="491"/>
      <c r="AD84" s="491"/>
      <c r="AE84" s="491"/>
    </row>
    <row r="85" spans="1:31" s="6503" customFormat="1" ht="11.25" customHeight="1">
      <c r="A85" s="895"/>
      <c r="B85" s="1547"/>
      <c r="C85" s="1547"/>
      <c r="D85" s="276"/>
      <c r="K85" s="1060"/>
      <c r="L85" s="1547"/>
      <c r="M85" s="1547"/>
      <c r="N85" s="1060"/>
      <c r="O85" s="1060"/>
      <c r="P85" s="1060"/>
      <c r="Q85" s="1060"/>
      <c r="R85" s="1547"/>
      <c r="S85" s="1060"/>
      <c r="T85" s="1060"/>
      <c r="U85" s="469"/>
      <c r="V85" s="1060"/>
      <c r="W85" s="1060"/>
      <c r="X85" s="1060"/>
      <c r="Y85" s="1060"/>
      <c r="Z85" s="1060"/>
      <c r="AA85" s="1543"/>
      <c r="AB85" s="491"/>
      <c r="AC85" s="491"/>
      <c r="AD85" s="491"/>
      <c r="AE85" s="491"/>
    </row>
    <row r="86" spans="1:31" s="6503" customFormat="1" ht="11.25" customHeight="1">
      <c r="A86" s="895"/>
      <c r="B86" s="1547"/>
      <c r="C86" s="1547"/>
      <c r="D86" s="276"/>
      <c r="K86" s="1060"/>
      <c r="L86" s="1547"/>
      <c r="M86" s="1547"/>
      <c r="N86" s="1060"/>
      <c r="O86" s="1060"/>
      <c r="P86" s="1060"/>
      <c r="Q86" s="1060"/>
      <c r="R86" s="1547"/>
      <c r="S86" s="1060"/>
      <c r="T86" s="1060"/>
      <c r="U86" s="469"/>
      <c r="V86" s="1060"/>
      <c r="W86" s="1060"/>
      <c r="X86" s="1060"/>
      <c r="Y86" s="1060"/>
      <c r="Z86" s="1060"/>
      <c r="AA86" s="1543"/>
      <c r="AB86" s="491"/>
      <c r="AC86" s="491"/>
      <c r="AD86" s="491"/>
      <c r="AE86" s="491"/>
    </row>
    <row r="87" spans="1:31" s="6503" customFormat="1" ht="11.25" customHeight="1">
      <c r="A87" s="895"/>
      <c r="B87" s="1547"/>
      <c r="C87" s="1547"/>
      <c r="D87" s="276"/>
      <c r="K87" s="1060"/>
      <c r="L87" s="1547"/>
      <c r="M87" s="1547"/>
      <c r="N87" s="1060"/>
      <c r="O87" s="1060"/>
      <c r="P87" s="1060"/>
      <c r="Q87" s="1060"/>
      <c r="R87" s="1547"/>
      <c r="S87" s="1060"/>
      <c r="T87" s="1060"/>
      <c r="U87" s="469"/>
      <c r="V87" s="1060"/>
      <c r="W87" s="1060"/>
      <c r="X87" s="1060"/>
      <c r="Y87" s="1060"/>
      <c r="Z87" s="1060"/>
      <c r="AA87" s="1543"/>
      <c r="AB87" s="491"/>
      <c r="AC87" s="491"/>
      <c r="AD87" s="491"/>
      <c r="AE87" s="491"/>
    </row>
    <row r="88" spans="1:31" s="6503" customFormat="1" ht="11.25" customHeight="1">
      <c r="A88" s="895"/>
      <c r="B88" s="1547"/>
      <c r="C88" s="1547"/>
      <c r="D88" s="276"/>
      <c r="K88" s="1060"/>
      <c r="L88" s="1547"/>
      <c r="M88" s="1547"/>
      <c r="N88" s="1060"/>
      <c r="O88" s="1060"/>
      <c r="P88" s="1060"/>
      <c r="Q88" s="1060"/>
      <c r="R88" s="1547"/>
      <c r="S88" s="1060"/>
      <c r="T88" s="1060"/>
      <c r="U88" s="469"/>
      <c r="V88" s="1060"/>
      <c r="W88" s="1060"/>
      <c r="X88" s="1060"/>
      <c r="Y88" s="1060"/>
      <c r="Z88" s="1060"/>
      <c r="AA88" s="1543"/>
      <c r="AB88" s="491"/>
      <c r="AC88" s="491"/>
      <c r="AD88" s="491"/>
      <c r="AE88" s="491"/>
    </row>
    <row r="89" spans="1:31" s="6503" customFormat="1" ht="11.25" customHeight="1">
      <c r="A89" s="895"/>
      <c r="B89" s="1547"/>
      <c r="C89" s="1547"/>
      <c r="D89" s="276"/>
      <c r="K89" s="1060"/>
      <c r="L89" s="1547"/>
      <c r="M89" s="1547"/>
      <c r="N89" s="1060"/>
      <c r="O89" s="1060"/>
      <c r="P89" s="1060"/>
      <c r="Q89" s="1060"/>
      <c r="R89" s="1547"/>
      <c r="S89" s="1060"/>
      <c r="T89" s="1060"/>
      <c r="U89" s="469"/>
      <c r="V89" s="1060"/>
      <c r="W89" s="1060"/>
      <c r="X89" s="1060"/>
      <c r="Y89" s="1060"/>
      <c r="Z89" s="1060"/>
      <c r="AA89" s="1543"/>
      <c r="AB89" s="491"/>
      <c r="AC89" s="491"/>
      <c r="AD89" s="491"/>
      <c r="AE89" s="491"/>
    </row>
    <row r="90" spans="1:31" s="6503" customFormat="1" ht="11.25" customHeight="1">
      <c r="A90" s="895"/>
      <c r="B90" s="1547"/>
      <c r="C90" s="1547"/>
      <c r="D90" s="276"/>
      <c r="K90" s="1060"/>
      <c r="L90" s="1547"/>
      <c r="M90" s="1547"/>
      <c r="N90" s="1060"/>
      <c r="O90" s="1060"/>
      <c r="P90" s="1060"/>
      <c r="Q90" s="1060"/>
      <c r="R90" s="1547"/>
      <c r="S90" s="1060"/>
      <c r="T90" s="1060"/>
      <c r="U90" s="469"/>
      <c r="V90" s="1060"/>
      <c r="W90" s="1060"/>
      <c r="X90" s="1060"/>
      <c r="Y90" s="1060"/>
      <c r="Z90" s="1060"/>
      <c r="AA90" s="1543"/>
      <c r="AB90" s="491"/>
      <c r="AC90" s="491"/>
      <c r="AD90" s="491"/>
      <c r="AE90" s="491"/>
    </row>
    <row r="91" spans="1:31" s="6503" customFormat="1" ht="11.25" customHeight="1">
      <c r="A91" s="895"/>
      <c r="B91" s="1547"/>
      <c r="C91" s="1547"/>
      <c r="D91" s="276"/>
      <c r="K91" s="1060"/>
      <c r="L91" s="1547"/>
      <c r="M91" s="1547"/>
      <c r="N91" s="1060"/>
      <c r="O91" s="1060"/>
      <c r="P91" s="1060"/>
      <c r="Q91" s="1060"/>
      <c r="R91" s="1547"/>
      <c r="S91" s="1060"/>
      <c r="T91" s="1060"/>
      <c r="U91" s="469"/>
      <c r="V91" s="1060"/>
      <c r="W91" s="1060"/>
      <c r="X91" s="1060"/>
      <c r="Y91" s="1060"/>
      <c r="Z91" s="1060"/>
      <c r="AA91" s="1543"/>
      <c r="AB91" s="491"/>
      <c r="AC91" s="491"/>
      <c r="AD91" s="491"/>
      <c r="AE91" s="491"/>
    </row>
    <row r="92" spans="1:31" s="6503" customFormat="1" ht="11.25" customHeight="1">
      <c r="A92" s="895"/>
      <c r="B92" s="1547"/>
      <c r="C92" s="1547"/>
      <c r="D92" s="276"/>
      <c r="K92" s="1060"/>
      <c r="L92" s="1547"/>
      <c r="M92" s="1547"/>
      <c r="N92" s="1060"/>
      <c r="O92" s="1060"/>
      <c r="P92" s="1060"/>
      <c r="Q92" s="1060"/>
      <c r="R92" s="1547"/>
      <c r="S92" s="1060"/>
      <c r="T92" s="1060"/>
      <c r="U92" s="469"/>
      <c r="V92" s="1060"/>
      <c r="W92" s="1060"/>
      <c r="X92" s="1060"/>
      <c r="Y92" s="1060"/>
      <c r="Z92" s="1060"/>
      <c r="AA92" s="1543"/>
      <c r="AB92" s="491"/>
      <c r="AC92" s="491"/>
      <c r="AD92" s="491"/>
      <c r="AE92" s="491"/>
    </row>
    <row r="93" spans="1:31" s="6503" customFormat="1" ht="11.25" customHeight="1">
      <c r="A93" s="895"/>
      <c r="B93" s="1547"/>
      <c r="C93" s="1547"/>
      <c r="D93" s="276"/>
      <c r="K93" s="1060"/>
      <c r="L93" s="1547"/>
      <c r="M93" s="1547"/>
      <c r="N93" s="1060"/>
      <c r="O93" s="1060"/>
      <c r="P93" s="1060"/>
      <c r="Q93" s="1060"/>
      <c r="R93" s="1547"/>
      <c r="S93" s="1060"/>
      <c r="T93" s="1060"/>
      <c r="U93" s="469"/>
      <c r="V93" s="1060"/>
      <c r="W93" s="1060"/>
      <c r="X93" s="1060"/>
      <c r="Y93" s="1060"/>
      <c r="Z93" s="1060"/>
      <c r="AA93" s="1543"/>
      <c r="AB93" s="491"/>
      <c r="AC93" s="491"/>
      <c r="AD93" s="491"/>
      <c r="AE93" s="491"/>
    </row>
    <row r="94" spans="1:31" s="6503" customFormat="1" ht="11.25" customHeight="1">
      <c r="A94" s="895"/>
      <c r="B94" s="1547"/>
      <c r="C94" s="1547"/>
      <c r="D94" s="276"/>
      <c r="K94" s="1060"/>
      <c r="L94" s="1547"/>
      <c r="M94" s="1547"/>
      <c r="N94" s="1060"/>
      <c r="O94" s="1060"/>
      <c r="P94" s="1060"/>
      <c r="Q94" s="1060"/>
      <c r="R94" s="1547"/>
      <c r="S94" s="1060"/>
      <c r="T94" s="1060"/>
      <c r="U94" s="469"/>
      <c r="V94" s="1060"/>
      <c r="W94" s="1060"/>
      <c r="X94" s="1060"/>
      <c r="Y94" s="1060"/>
      <c r="Z94" s="1060"/>
      <c r="AA94" s="1543"/>
      <c r="AB94" s="491"/>
      <c r="AC94" s="491"/>
      <c r="AD94" s="491"/>
      <c r="AE94" s="491"/>
    </row>
    <row r="95" spans="1:31" s="6503" customFormat="1" ht="11.25" customHeight="1">
      <c r="A95" s="895"/>
      <c r="B95" s="1547"/>
      <c r="C95" s="1547"/>
      <c r="D95" s="276"/>
      <c r="K95" s="1060"/>
      <c r="L95" s="1547"/>
      <c r="M95" s="1547"/>
      <c r="N95" s="1060"/>
      <c r="O95" s="1060"/>
      <c r="P95" s="1060"/>
      <c r="Q95" s="1060"/>
      <c r="R95" s="1547"/>
      <c r="S95" s="1060"/>
      <c r="T95" s="1060"/>
      <c r="U95" s="469"/>
      <c r="V95" s="1060"/>
      <c r="W95" s="1060"/>
      <c r="X95" s="1060"/>
      <c r="Y95" s="1060"/>
      <c r="Z95" s="1060"/>
      <c r="AA95" s="1543"/>
      <c r="AB95" s="491"/>
      <c r="AC95" s="491"/>
      <c r="AD95" s="491"/>
      <c r="AE95" s="491"/>
    </row>
    <row r="96" spans="1:31" s="6503" customFormat="1" ht="11.25" customHeight="1">
      <c r="A96" s="895"/>
      <c r="B96" s="1547"/>
      <c r="C96" s="1547"/>
      <c r="D96" s="276"/>
      <c r="K96" s="1060"/>
      <c r="L96" s="1547"/>
      <c r="M96" s="1547"/>
      <c r="N96" s="1060"/>
      <c r="O96" s="1060"/>
      <c r="P96" s="1060"/>
      <c r="Q96" s="1060"/>
      <c r="R96" s="1547"/>
      <c r="S96" s="1060"/>
      <c r="T96" s="1060"/>
      <c r="U96" s="469"/>
      <c r="V96" s="1060"/>
      <c r="W96" s="1060"/>
      <c r="X96" s="1060"/>
      <c r="Y96" s="1060"/>
      <c r="Z96" s="1060"/>
      <c r="AA96" s="1543"/>
      <c r="AB96" s="491"/>
      <c r="AC96" s="491"/>
      <c r="AD96" s="491"/>
      <c r="AE96" s="491"/>
    </row>
    <row r="97" spans="1:31" s="6503" customFormat="1" ht="11.25" customHeight="1">
      <c r="A97" s="895"/>
      <c r="B97" s="1547"/>
      <c r="C97" s="1547"/>
      <c r="D97" s="276"/>
      <c r="K97" s="1060"/>
      <c r="L97" s="1547"/>
      <c r="M97" s="1547"/>
      <c r="N97" s="1060"/>
      <c r="O97" s="1060"/>
      <c r="P97" s="1060"/>
      <c r="Q97" s="1060"/>
      <c r="R97" s="1547"/>
      <c r="S97" s="1060"/>
      <c r="T97" s="1060"/>
      <c r="U97" s="469"/>
      <c r="V97" s="1060"/>
      <c r="W97" s="1060"/>
      <c r="X97" s="1060"/>
      <c r="Y97" s="1060"/>
      <c r="Z97" s="1060"/>
      <c r="AA97" s="1543"/>
      <c r="AB97" s="491"/>
      <c r="AC97" s="491"/>
      <c r="AD97" s="491"/>
      <c r="AE97" s="491"/>
    </row>
    <row r="98" spans="1:31" s="6503" customFormat="1" ht="11.25" customHeight="1">
      <c r="A98" s="895"/>
      <c r="B98" s="1547"/>
      <c r="C98" s="1547"/>
      <c r="D98" s="276"/>
      <c r="K98" s="1060"/>
      <c r="L98" s="1547"/>
      <c r="M98" s="1547"/>
      <c r="N98" s="1060"/>
      <c r="O98" s="1060"/>
      <c r="P98" s="1060"/>
      <c r="Q98" s="1060"/>
      <c r="R98" s="1547"/>
      <c r="S98" s="1060"/>
      <c r="T98" s="1060"/>
      <c r="U98" s="469"/>
      <c r="V98" s="1060"/>
      <c r="W98" s="1060"/>
      <c r="X98" s="1060"/>
      <c r="Y98" s="1060"/>
      <c r="Z98" s="1060"/>
      <c r="AA98" s="1543"/>
      <c r="AB98" s="491"/>
      <c r="AC98" s="491"/>
      <c r="AD98" s="491"/>
      <c r="AE98" s="491"/>
    </row>
    <row r="99" spans="1:31" s="6503" customFormat="1" ht="11.25" customHeight="1">
      <c r="A99" s="895"/>
      <c r="B99" s="1547"/>
      <c r="C99" s="1547"/>
      <c r="D99" s="276"/>
      <c r="K99" s="1060"/>
      <c r="L99" s="1547"/>
      <c r="M99" s="1547"/>
      <c r="N99" s="1060"/>
      <c r="O99" s="1060"/>
      <c r="P99" s="1060"/>
      <c r="Q99" s="1060"/>
      <c r="R99" s="1547"/>
      <c r="S99" s="1060"/>
      <c r="T99" s="1060"/>
      <c r="U99" s="469"/>
      <c r="V99" s="1060"/>
      <c r="W99" s="1060"/>
      <c r="X99" s="1060"/>
      <c r="Y99" s="1060"/>
      <c r="Z99" s="1060"/>
      <c r="AA99" s="1543"/>
      <c r="AB99" s="491"/>
      <c r="AC99" s="491"/>
      <c r="AD99" s="491"/>
      <c r="AE99" s="491"/>
    </row>
    <row r="100" spans="1:31" s="6503" customFormat="1" ht="11.25" customHeight="1">
      <c r="A100" s="895"/>
      <c r="B100" s="1547"/>
      <c r="C100" s="1547"/>
      <c r="D100" s="276"/>
      <c r="K100" s="1060"/>
      <c r="L100" s="1547"/>
      <c r="M100" s="1547"/>
      <c r="N100" s="1060"/>
      <c r="O100" s="1060"/>
      <c r="P100" s="1060"/>
      <c r="Q100" s="1060"/>
      <c r="R100" s="1547"/>
      <c r="S100" s="1060"/>
      <c r="T100" s="1060"/>
      <c r="U100" s="469"/>
      <c r="V100" s="1060"/>
      <c r="W100" s="1060"/>
      <c r="X100" s="1060"/>
      <c r="Y100" s="1060"/>
      <c r="Z100" s="1060"/>
      <c r="AA100" s="1543"/>
      <c r="AB100" s="491"/>
      <c r="AC100" s="491"/>
      <c r="AD100" s="491"/>
      <c r="AE100" s="491"/>
    </row>
    <row r="101" spans="1:31" s="6503" customFormat="1" ht="11.25" customHeight="1">
      <c r="A101" s="895"/>
      <c r="B101" s="1547"/>
      <c r="C101" s="1547"/>
      <c r="D101" s="276"/>
      <c r="K101" s="1060"/>
      <c r="L101" s="1547"/>
      <c r="M101" s="1547"/>
      <c r="N101" s="1060"/>
      <c r="O101" s="1060"/>
      <c r="P101" s="1060"/>
      <c r="Q101" s="1060"/>
      <c r="R101" s="1547"/>
      <c r="S101" s="1060"/>
      <c r="T101" s="1060"/>
      <c r="U101" s="469"/>
      <c r="V101" s="1060"/>
      <c r="W101" s="1060"/>
      <c r="X101" s="1060"/>
      <c r="Y101" s="1060"/>
      <c r="Z101" s="1060"/>
      <c r="AA101" s="1543"/>
      <c r="AB101" s="491"/>
      <c r="AC101" s="491"/>
      <c r="AD101" s="491"/>
      <c r="AE101" s="491"/>
    </row>
    <row r="102" spans="1:31" s="6503" customFormat="1" ht="11.25" customHeight="1">
      <c r="A102" s="895"/>
      <c r="B102" s="1547"/>
      <c r="C102" s="1547"/>
      <c r="D102" s="276"/>
      <c r="K102" s="1060"/>
      <c r="L102" s="1547"/>
      <c r="M102" s="1547"/>
      <c r="N102" s="1060"/>
      <c r="O102" s="1060"/>
      <c r="P102" s="1060"/>
      <c r="Q102" s="1060"/>
      <c r="R102" s="1547"/>
      <c r="S102" s="1060"/>
      <c r="T102" s="1060"/>
      <c r="U102" s="469"/>
      <c r="V102" s="1060"/>
      <c r="W102" s="1060"/>
      <c r="X102" s="1060"/>
      <c r="Y102" s="1060"/>
      <c r="Z102" s="1060"/>
      <c r="AA102" s="1543"/>
      <c r="AB102" s="491"/>
      <c r="AC102" s="491"/>
      <c r="AD102" s="491"/>
      <c r="AE102" s="491"/>
    </row>
    <row r="103" spans="1:31" s="6503" customFormat="1" ht="11.25" customHeight="1">
      <c r="A103" s="895"/>
      <c r="B103" s="1547"/>
      <c r="C103" s="1547"/>
      <c r="D103" s="276"/>
      <c r="K103" s="1060"/>
      <c r="L103" s="1547"/>
      <c r="M103" s="1547"/>
      <c r="N103" s="1060"/>
      <c r="O103" s="1060"/>
      <c r="P103" s="1060"/>
      <c r="Q103" s="1060"/>
      <c r="R103" s="1547"/>
      <c r="S103" s="1060"/>
      <c r="T103" s="1060"/>
      <c r="U103" s="469"/>
      <c r="V103" s="1060"/>
      <c r="W103" s="1060"/>
      <c r="X103" s="1060"/>
      <c r="Y103" s="1060"/>
      <c r="Z103" s="1060"/>
      <c r="AA103" s="1543"/>
      <c r="AB103" s="491"/>
      <c r="AC103" s="491"/>
      <c r="AD103" s="491"/>
      <c r="AE103" s="491"/>
    </row>
    <row r="104" spans="1:31" s="6503" customFormat="1" ht="11.25" customHeight="1">
      <c r="A104" s="895"/>
      <c r="B104" s="1547"/>
      <c r="C104" s="1547"/>
      <c r="D104" s="276"/>
      <c r="K104" s="1060"/>
      <c r="L104" s="1547"/>
      <c r="M104" s="1547"/>
      <c r="N104" s="1060"/>
      <c r="O104" s="1060"/>
      <c r="P104" s="1060"/>
      <c r="Q104" s="1060"/>
      <c r="R104" s="1547"/>
      <c r="S104" s="1060"/>
      <c r="T104" s="1060"/>
      <c r="U104" s="469"/>
      <c r="V104" s="1060"/>
      <c r="W104" s="1060"/>
      <c r="X104" s="1060"/>
      <c r="Y104" s="1060"/>
      <c r="Z104" s="1060"/>
      <c r="AA104" s="1543"/>
      <c r="AB104" s="491"/>
      <c r="AC104" s="491"/>
      <c r="AD104" s="491"/>
      <c r="AE104" s="491"/>
    </row>
    <row r="105" spans="1:31" s="6503" customFormat="1" ht="11.25" customHeight="1">
      <c r="A105" s="895"/>
      <c r="B105" s="1547"/>
      <c r="C105" s="1547"/>
      <c r="D105" s="276"/>
      <c r="K105" s="1060"/>
      <c r="L105" s="1547"/>
      <c r="M105" s="1547"/>
      <c r="N105" s="1060"/>
      <c r="O105" s="1060"/>
      <c r="P105" s="1060"/>
      <c r="Q105" s="1060"/>
      <c r="R105" s="1547"/>
      <c r="S105" s="1060"/>
      <c r="T105" s="1060"/>
      <c r="U105" s="469"/>
      <c r="V105" s="1060"/>
      <c r="W105" s="1060"/>
      <c r="X105" s="1060"/>
      <c r="Y105" s="1060"/>
      <c r="Z105" s="1060"/>
      <c r="AA105" s="1543"/>
      <c r="AB105" s="491"/>
      <c r="AC105" s="491"/>
      <c r="AD105" s="491"/>
      <c r="AE105" s="491"/>
    </row>
    <row r="106" spans="1:31" s="6503" customFormat="1" ht="11.25" customHeight="1">
      <c r="A106" s="895"/>
      <c r="B106" s="1547"/>
      <c r="C106" s="1547"/>
      <c r="D106" s="276"/>
      <c r="K106" s="1060"/>
      <c r="L106" s="1547"/>
      <c r="M106" s="1547"/>
      <c r="N106" s="1060"/>
      <c r="O106" s="1060"/>
      <c r="P106" s="1060"/>
      <c r="Q106" s="1060"/>
      <c r="R106" s="1547"/>
      <c r="S106" s="1060"/>
      <c r="T106" s="1060"/>
      <c r="U106" s="469"/>
      <c r="V106" s="1060"/>
      <c r="W106" s="1060"/>
      <c r="X106" s="1060"/>
      <c r="Y106" s="1060"/>
      <c r="Z106" s="1060"/>
      <c r="AA106" s="1543"/>
      <c r="AB106" s="491"/>
      <c r="AC106" s="491"/>
      <c r="AD106" s="491"/>
      <c r="AE106" s="491"/>
    </row>
    <row r="107" spans="1:31" s="6503" customFormat="1" ht="11.25" customHeight="1">
      <c r="A107" s="895"/>
      <c r="B107" s="1547"/>
      <c r="C107" s="1547"/>
      <c r="D107" s="276"/>
      <c r="K107" s="1060"/>
      <c r="L107" s="1547"/>
      <c r="M107" s="1547"/>
      <c r="N107" s="1060"/>
      <c r="O107" s="1060"/>
      <c r="P107" s="1060"/>
      <c r="Q107" s="1060"/>
      <c r="R107" s="1547"/>
      <c r="S107" s="1060"/>
      <c r="T107" s="1060"/>
      <c r="U107" s="469"/>
      <c r="V107" s="1060"/>
      <c r="W107" s="1060"/>
      <c r="X107" s="1060"/>
      <c r="Y107" s="1060"/>
      <c r="Z107" s="1060"/>
      <c r="AA107" s="1543"/>
      <c r="AB107" s="491"/>
      <c r="AC107" s="491"/>
      <c r="AD107" s="491"/>
      <c r="AE107" s="491"/>
    </row>
    <row r="108" spans="1:31" s="6503" customFormat="1" ht="11.25" customHeight="1">
      <c r="A108" s="895"/>
      <c r="B108" s="1547"/>
      <c r="C108" s="1547"/>
      <c r="D108" s="276"/>
      <c r="K108" s="1060"/>
      <c r="L108" s="1547"/>
      <c r="M108" s="1547"/>
      <c r="N108" s="1060"/>
      <c r="O108" s="1060"/>
      <c r="P108" s="1060"/>
      <c r="Q108" s="1060"/>
      <c r="R108" s="1547"/>
      <c r="S108" s="1060"/>
      <c r="T108" s="1060"/>
      <c r="U108" s="469"/>
      <c r="V108" s="1060"/>
      <c r="W108" s="1060"/>
      <c r="X108" s="1060"/>
      <c r="Y108" s="1060"/>
      <c r="Z108" s="1060"/>
      <c r="AA108" s="1543"/>
      <c r="AB108" s="491"/>
      <c r="AC108" s="491"/>
      <c r="AD108" s="491"/>
      <c r="AE108" s="491"/>
    </row>
    <row r="109" spans="1:31" s="6503" customFormat="1" ht="11.25" customHeight="1">
      <c r="A109" s="895"/>
      <c r="B109" s="1547"/>
      <c r="C109" s="1547"/>
      <c r="D109" s="276"/>
      <c r="K109" s="1060"/>
      <c r="L109" s="1547"/>
      <c r="M109" s="1547"/>
      <c r="N109" s="1060"/>
      <c r="O109" s="1060"/>
      <c r="P109" s="1060"/>
      <c r="Q109" s="1060"/>
      <c r="R109" s="1547"/>
      <c r="S109" s="1060"/>
      <c r="T109" s="1060"/>
      <c r="U109" s="469"/>
      <c r="V109" s="1060"/>
      <c r="W109" s="1060"/>
      <c r="X109" s="1060"/>
      <c r="Y109" s="1060"/>
      <c r="Z109" s="1060"/>
      <c r="AA109" s="1543"/>
      <c r="AB109" s="491"/>
      <c r="AC109" s="491"/>
      <c r="AD109" s="491"/>
      <c r="AE109" s="491"/>
    </row>
    <row r="110" spans="1:31" s="6503" customFormat="1" ht="11.25" customHeight="1">
      <c r="A110" s="895"/>
      <c r="B110" s="1547"/>
      <c r="C110" s="1547"/>
      <c r="D110" s="276"/>
      <c r="K110" s="1060"/>
      <c r="L110" s="1547"/>
      <c r="M110" s="1547"/>
      <c r="N110" s="1060"/>
      <c r="O110" s="1060"/>
      <c r="P110" s="1060"/>
      <c r="Q110" s="1060"/>
      <c r="R110" s="1547"/>
      <c r="S110" s="1060"/>
      <c r="T110" s="1060"/>
      <c r="U110" s="469"/>
      <c r="V110" s="1060"/>
      <c r="W110" s="1060"/>
      <c r="X110" s="1060"/>
      <c r="Y110" s="1060"/>
      <c r="Z110" s="1060"/>
      <c r="AA110" s="1543"/>
      <c r="AB110" s="491"/>
      <c r="AC110" s="491"/>
      <c r="AD110" s="491"/>
      <c r="AE110" s="491"/>
    </row>
    <row r="111" spans="1:31" s="6503" customFormat="1" ht="11.25" customHeight="1">
      <c r="A111" s="895"/>
      <c r="B111" s="1547"/>
      <c r="C111" s="1547"/>
      <c r="D111" s="276"/>
      <c r="K111" s="1060"/>
      <c r="L111" s="1547"/>
      <c r="M111" s="1547"/>
      <c r="N111" s="1060"/>
      <c r="O111" s="1060"/>
      <c r="P111" s="1060"/>
      <c r="Q111" s="1060"/>
      <c r="R111" s="1547"/>
      <c r="S111" s="1060"/>
      <c r="T111" s="1060"/>
      <c r="U111" s="469"/>
      <c r="V111" s="1060"/>
      <c r="W111" s="1060"/>
      <c r="X111" s="1060"/>
      <c r="Y111" s="1060"/>
      <c r="Z111" s="1060"/>
      <c r="AA111" s="1543"/>
      <c r="AB111" s="491"/>
      <c r="AC111" s="491"/>
      <c r="AD111" s="491"/>
      <c r="AE111" s="491"/>
    </row>
    <row r="112" spans="1:31" s="6503" customFormat="1" ht="11.25" customHeight="1">
      <c r="A112" s="895"/>
      <c r="B112" s="1547"/>
      <c r="C112" s="1547"/>
      <c r="D112" s="276"/>
      <c r="K112" s="1060"/>
      <c r="L112" s="1547"/>
      <c r="M112" s="1547"/>
      <c r="N112" s="1060"/>
      <c r="O112" s="1060"/>
      <c r="P112" s="1060"/>
      <c r="Q112" s="1060"/>
      <c r="R112" s="1547"/>
      <c r="S112" s="1060"/>
      <c r="T112" s="1060"/>
      <c r="U112" s="469"/>
      <c r="V112" s="1060"/>
      <c r="W112" s="1060"/>
      <c r="X112" s="1060"/>
      <c r="Y112" s="1060"/>
      <c r="Z112" s="1060"/>
      <c r="AA112" s="1543"/>
      <c r="AB112" s="491"/>
      <c r="AC112" s="491"/>
      <c r="AD112" s="491"/>
      <c r="AE112" s="491"/>
    </row>
    <row r="113" spans="1:31" s="6503" customFormat="1" ht="11.25" customHeight="1">
      <c r="A113" s="895"/>
      <c r="B113" s="1547"/>
      <c r="C113" s="1547"/>
      <c r="D113" s="276"/>
      <c r="K113" s="1060"/>
      <c r="L113" s="1547"/>
      <c r="M113" s="1547"/>
      <c r="N113" s="1060"/>
      <c r="O113" s="1060"/>
      <c r="P113" s="1060"/>
      <c r="Q113" s="1060"/>
      <c r="R113" s="1547"/>
      <c r="S113" s="1060"/>
      <c r="T113" s="1060"/>
      <c r="U113" s="469"/>
      <c r="V113" s="1060"/>
      <c r="W113" s="1060"/>
      <c r="X113" s="1060"/>
      <c r="Y113" s="1060"/>
      <c r="Z113" s="1060"/>
      <c r="AA113" s="1543"/>
      <c r="AB113" s="491"/>
      <c r="AC113" s="491"/>
      <c r="AD113" s="491"/>
      <c r="AE113" s="491"/>
    </row>
    <row r="114" spans="1:31" s="6503" customFormat="1" ht="11.25" customHeight="1">
      <c r="A114" s="895"/>
      <c r="B114" s="1547"/>
      <c r="C114" s="1547"/>
      <c r="D114" s="276"/>
      <c r="K114" s="1060"/>
      <c r="L114" s="1547"/>
      <c r="M114" s="1547"/>
      <c r="N114" s="1060"/>
      <c r="O114" s="1060"/>
      <c r="P114" s="1060"/>
      <c r="Q114" s="1060"/>
      <c r="R114" s="1547"/>
      <c r="S114" s="1060"/>
      <c r="T114" s="1060"/>
      <c r="U114" s="469"/>
      <c r="V114" s="1060"/>
      <c r="W114" s="1060"/>
      <c r="X114" s="1060"/>
      <c r="Y114" s="1060"/>
      <c r="Z114" s="1060"/>
      <c r="AA114" s="1543"/>
      <c r="AB114" s="491"/>
      <c r="AC114" s="491"/>
      <c r="AD114" s="491"/>
      <c r="AE114" s="491"/>
    </row>
    <row r="115" spans="1:31" s="6503" customFormat="1" ht="11.25" customHeight="1">
      <c r="A115" s="895"/>
      <c r="B115" s="1547"/>
      <c r="C115" s="1547"/>
      <c r="D115" s="276"/>
      <c r="K115" s="1060"/>
      <c r="L115" s="1547"/>
      <c r="M115" s="1547"/>
      <c r="N115" s="1060"/>
      <c r="O115" s="1060"/>
      <c r="P115" s="1060"/>
      <c r="Q115" s="1060"/>
      <c r="R115" s="1547"/>
      <c r="S115" s="1060"/>
      <c r="T115" s="1060"/>
      <c r="U115" s="469"/>
      <c r="V115" s="1060"/>
      <c r="W115" s="1060"/>
      <c r="X115" s="1060"/>
      <c r="Y115" s="1060"/>
      <c r="Z115" s="1060"/>
      <c r="AA115" s="1543"/>
      <c r="AB115" s="491"/>
      <c r="AC115" s="491"/>
      <c r="AD115" s="491"/>
      <c r="AE115" s="491"/>
    </row>
    <row r="116" spans="1:31" s="6503" customFormat="1" ht="11.25" customHeight="1">
      <c r="A116" s="895"/>
      <c r="B116" s="1547"/>
      <c r="C116" s="1547"/>
      <c r="D116" s="276"/>
      <c r="K116" s="1060"/>
      <c r="L116" s="1547"/>
      <c r="M116" s="1547"/>
      <c r="N116" s="1060"/>
      <c r="O116" s="1060"/>
      <c r="P116" s="1060"/>
      <c r="Q116" s="1060"/>
      <c r="R116" s="1547"/>
      <c r="S116" s="1060"/>
      <c r="T116" s="1060"/>
      <c r="U116" s="469"/>
      <c r="V116" s="1060"/>
      <c r="W116" s="1060"/>
      <c r="X116" s="1060"/>
      <c r="Y116" s="1060"/>
      <c r="Z116" s="1060"/>
      <c r="AA116" s="1543"/>
      <c r="AB116" s="491"/>
      <c r="AC116" s="491"/>
      <c r="AD116" s="491"/>
      <c r="AE116" s="491"/>
    </row>
    <row r="117" spans="1:31" s="6503" customFormat="1" ht="11.25" customHeight="1">
      <c r="A117" s="895"/>
      <c r="B117" s="1547"/>
      <c r="C117" s="1547"/>
      <c r="D117" s="276"/>
      <c r="K117" s="1060"/>
      <c r="L117" s="1547"/>
      <c r="M117" s="1547"/>
      <c r="N117" s="1060"/>
      <c r="O117" s="1060"/>
      <c r="P117" s="1060"/>
      <c r="Q117" s="1060"/>
      <c r="R117" s="1547"/>
      <c r="S117" s="1060"/>
      <c r="T117" s="1060"/>
      <c r="U117" s="469"/>
      <c r="V117" s="1060"/>
      <c r="W117" s="1060"/>
      <c r="X117" s="1060"/>
      <c r="Y117" s="1060"/>
      <c r="Z117" s="1060"/>
      <c r="AA117" s="1543"/>
      <c r="AB117" s="491"/>
      <c r="AC117" s="491"/>
      <c r="AD117" s="491"/>
      <c r="AE117" s="491"/>
    </row>
    <row r="118" spans="1:31" s="6503" customFormat="1" ht="11.25" customHeight="1">
      <c r="A118" s="895"/>
      <c r="B118" s="1547"/>
      <c r="C118" s="1547"/>
      <c r="D118" s="276"/>
      <c r="K118" s="1060"/>
      <c r="L118" s="1547"/>
      <c r="M118" s="1547"/>
      <c r="N118" s="1060"/>
      <c r="O118" s="1060"/>
      <c r="P118" s="1060"/>
      <c r="Q118" s="1060"/>
      <c r="R118" s="1547"/>
      <c r="S118" s="1060"/>
      <c r="T118" s="1060"/>
      <c r="U118" s="469"/>
      <c r="V118" s="1060"/>
      <c r="W118" s="1060"/>
      <c r="X118" s="1060"/>
      <c r="Y118" s="1060"/>
      <c r="Z118" s="1060"/>
      <c r="AA118" s="1543"/>
      <c r="AB118" s="491"/>
      <c r="AC118" s="491"/>
      <c r="AD118" s="491"/>
      <c r="AE118" s="491"/>
    </row>
    <row r="119" spans="1:31" s="6503" customFormat="1" ht="11.25" customHeight="1">
      <c r="A119" s="895"/>
      <c r="B119" s="1547"/>
      <c r="C119" s="1547"/>
      <c r="D119" s="276"/>
      <c r="K119" s="1060"/>
      <c r="L119" s="1547"/>
      <c r="M119" s="1547"/>
      <c r="N119" s="1060"/>
      <c r="O119" s="1060"/>
      <c r="P119" s="1060"/>
      <c r="Q119" s="1060"/>
      <c r="R119" s="1547"/>
      <c r="S119" s="1060"/>
      <c r="T119" s="1060"/>
      <c r="U119" s="469"/>
      <c r="V119" s="1060"/>
      <c r="W119" s="1060"/>
      <c r="X119" s="1060"/>
      <c r="Y119" s="1060"/>
      <c r="Z119" s="1060"/>
      <c r="AA119" s="1543"/>
      <c r="AB119" s="491"/>
      <c r="AC119" s="491"/>
      <c r="AD119" s="491"/>
      <c r="AE119" s="491"/>
    </row>
    <row r="120" spans="1:31" s="6503" customFormat="1" ht="11.25" customHeight="1">
      <c r="A120" s="895"/>
      <c r="B120" s="1547"/>
      <c r="C120" s="1547"/>
      <c r="D120" s="276"/>
      <c r="K120" s="1060"/>
      <c r="L120" s="1547"/>
      <c r="M120" s="1547"/>
      <c r="N120" s="1060"/>
      <c r="O120" s="1060"/>
      <c r="P120" s="1060"/>
      <c r="Q120" s="1060"/>
      <c r="R120" s="1547"/>
      <c r="S120" s="1060"/>
      <c r="T120" s="1060"/>
      <c r="U120" s="469"/>
      <c r="V120" s="1060"/>
      <c r="W120" s="1060"/>
      <c r="X120" s="1060"/>
      <c r="Y120" s="1060"/>
      <c r="Z120" s="1060"/>
      <c r="AA120" s="1543"/>
      <c r="AB120" s="491"/>
      <c r="AC120" s="491"/>
      <c r="AD120" s="491"/>
      <c r="AE120" s="491"/>
    </row>
    <row r="121" spans="1:31" s="6503" customFormat="1" ht="11.25" customHeight="1">
      <c r="A121" s="895"/>
      <c r="B121" s="1547"/>
      <c r="C121" s="1547"/>
      <c r="D121" s="276"/>
      <c r="K121" s="1060"/>
      <c r="L121" s="1547"/>
      <c r="M121" s="1547"/>
      <c r="N121" s="1060"/>
      <c r="O121" s="1060"/>
      <c r="P121" s="1060"/>
      <c r="Q121" s="1060"/>
      <c r="R121" s="1547"/>
      <c r="S121" s="1060"/>
      <c r="T121" s="1060"/>
      <c r="U121" s="469"/>
      <c r="V121" s="1060"/>
      <c r="W121" s="1060"/>
      <c r="X121" s="1060"/>
      <c r="Y121" s="1060"/>
      <c r="Z121" s="1060"/>
      <c r="AA121" s="1543"/>
      <c r="AB121" s="491"/>
      <c r="AC121" s="491"/>
      <c r="AD121" s="491"/>
      <c r="AE121" s="491"/>
    </row>
    <row r="122" spans="1:31" s="6503" customFormat="1" ht="11.25" customHeight="1">
      <c r="A122" s="895"/>
      <c r="B122" s="1547"/>
      <c r="C122" s="1547"/>
      <c r="D122" s="276"/>
      <c r="K122" s="1060"/>
      <c r="L122" s="1547"/>
      <c r="M122" s="1547"/>
      <c r="N122" s="1060"/>
      <c r="O122" s="1060"/>
      <c r="P122" s="1060"/>
      <c r="Q122" s="1060"/>
      <c r="R122" s="1547"/>
      <c r="S122" s="1060"/>
      <c r="T122" s="1060"/>
      <c r="U122" s="469"/>
      <c r="V122" s="1060"/>
      <c r="W122" s="1060"/>
      <c r="X122" s="1060"/>
      <c r="Y122" s="1060"/>
      <c r="Z122" s="1060"/>
      <c r="AA122" s="1543"/>
      <c r="AB122" s="491"/>
      <c r="AC122" s="491"/>
      <c r="AD122" s="491"/>
      <c r="AE122" s="491"/>
    </row>
    <row r="123" spans="1:31" s="6503" customFormat="1" ht="11.25" customHeight="1">
      <c r="A123" s="895"/>
      <c r="B123" s="1547"/>
      <c r="C123" s="1547"/>
      <c r="D123" s="276"/>
      <c r="K123" s="1060"/>
      <c r="L123" s="1547"/>
      <c r="M123" s="1547"/>
      <c r="N123" s="1060"/>
      <c r="O123" s="1060"/>
      <c r="P123" s="1060"/>
      <c r="Q123" s="1060"/>
      <c r="R123" s="1547"/>
      <c r="S123" s="1060"/>
      <c r="T123" s="1060"/>
      <c r="U123" s="469"/>
      <c r="V123" s="1060"/>
      <c r="W123" s="1060"/>
      <c r="X123" s="1060"/>
      <c r="Y123" s="1060"/>
      <c r="Z123" s="1060"/>
      <c r="AA123" s="1543"/>
      <c r="AB123" s="491"/>
      <c r="AC123" s="491"/>
      <c r="AD123" s="491"/>
      <c r="AE123" s="491"/>
    </row>
    <row r="124" spans="1:31" s="6503" customFormat="1" ht="11.25" customHeight="1">
      <c r="A124" s="895"/>
      <c r="B124" s="1547"/>
      <c r="C124" s="1547"/>
      <c r="D124" s="276"/>
      <c r="K124" s="1060"/>
      <c r="L124" s="1547"/>
      <c r="M124" s="1547"/>
      <c r="N124" s="1060"/>
      <c r="O124" s="1060"/>
      <c r="P124" s="1060"/>
      <c r="Q124" s="1060"/>
      <c r="R124" s="1547"/>
      <c r="S124" s="1060"/>
      <c r="T124" s="1060"/>
      <c r="U124" s="469"/>
      <c r="V124" s="1060"/>
      <c r="W124" s="1060"/>
      <c r="X124" s="1060"/>
      <c r="Y124" s="1060"/>
      <c r="Z124" s="1060"/>
      <c r="AA124" s="1543"/>
      <c r="AB124" s="491"/>
      <c r="AC124" s="491"/>
      <c r="AD124" s="491"/>
      <c r="AE124" s="491"/>
    </row>
    <row r="125" spans="1:31" s="6503" customFormat="1" ht="11.25" customHeight="1">
      <c r="A125" s="895"/>
      <c r="B125" s="1547"/>
      <c r="C125" s="1547"/>
      <c r="D125" s="276"/>
      <c r="K125" s="1060"/>
      <c r="L125" s="1547"/>
      <c r="M125" s="1547"/>
      <c r="N125" s="1060"/>
      <c r="O125" s="1060"/>
      <c r="P125" s="1060"/>
      <c r="Q125" s="1060"/>
      <c r="R125" s="1547"/>
      <c r="S125" s="1060"/>
      <c r="T125" s="1060"/>
      <c r="U125" s="469"/>
      <c r="V125" s="1060"/>
      <c r="W125" s="1060"/>
      <c r="X125" s="1060"/>
      <c r="Y125" s="1060"/>
      <c r="Z125" s="1060"/>
      <c r="AA125" s="1543"/>
      <c r="AB125" s="491"/>
      <c r="AC125" s="491"/>
      <c r="AD125" s="491"/>
      <c r="AE125" s="491"/>
    </row>
    <row r="126" spans="1:31" s="6503" customFormat="1" ht="11.25" customHeight="1">
      <c r="A126" s="895"/>
      <c r="B126" s="1547"/>
      <c r="C126" s="1547"/>
      <c r="D126" s="276"/>
      <c r="K126" s="1060"/>
      <c r="L126" s="1547"/>
      <c r="M126" s="1547"/>
      <c r="N126" s="1060"/>
      <c r="O126" s="1060"/>
      <c r="P126" s="1060"/>
      <c r="Q126" s="1060"/>
      <c r="R126" s="1547"/>
      <c r="S126" s="1060"/>
      <c r="T126" s="1060"/>
      <c r="U126" s="469"/>
      <c r="V126" s="1060"/>
      <c r="W126" s="1060"/>
      <c r="X126" s="1060"/>
      <c r="Y126" s="1060"/>
      <c r="Z126" s="1060"/>
      <c r="AA126" s="1543"/>
      <c r="AB126" s="491"/>
      <c r="AC126" s="491"/>
      <c r="AD126" s="491"/>
      <c r="AE126" s="491"/>
    </row>
    <row r="127" spans="1:31" s="6503" customFormat="1" ht="11.25" customHeight="1">
      <c r="A127" s="895"/>
      <c r="B127" s="1547"/>
      <c r="C127" s="1547"/>
      <c r="D127" s="276"/>
      <c r="K127" s="1060"/>
      <c r="L127" s="1547"/>
      <c r="M127" s="1547"/>
      <c r="N127" s="1060"/>
      <c r="O127" s="1060"/>
      <c r="P127" s="1060"/>
      <c r="Q127" s="1060"/>
      <c r="R127" s="1547"/>
      <c r="S127" s="1060"/>
      <c r="T127" s="1060"/>
      <c r="U127" s="469"/>
      <c r="V127" s="1060"/>
      <c r="W127" s="1060"/>
      <c r="X127" s="1060"/>
      <c r="Y127" s="1060"/>
      <c r="Z127" s="1060"/>
      <c r="AA127" s="1543"/>
      <c r="AB127" s="491"/>
      <c r="AC127" s="491"/>
      <c r="AD127" s="491"/>
      <c r="AE127" s="491"/>
    </row>
    <row r="128" spans="1:31" s="6503" customFormat="1" ht="11.25" customHeight="1">
      <c r="A128" s="895"/>
      <c r="B128" s="1547"/>
      <c r="C128" s="1547"/>
      <c r="D128" s="276"/>
      <c r="K128" s="1060"/>
      <c r="L128" s="1547"/>
      <c r="M128" s="1547"/>
      <c r="N128" s="1060"/>
      <c r="O128" s="1060"/>
      <c r="P128" s="1060"/>
      <c r="Q128" s="1060"/>
      <c r="R128" s="1547"/>
      <c r="S128" s="1060"/>
      <c r="T128" s="1060"/>
      <c r="U128" s="469"/>
      <c r="V128" s="1060"/>
      <c r="W128" s="1060"/>
      <c r="X128" s="1060"/>
      <c r="Y128" s="1060"/>
      <c r="Z128" s="1060"/>
      <c r="AA128" s="1543"/>
      <c r="AB128" s="491"/>
      <c r="AC128" s="491"/>
      <c r="AD128" s="491"/>
      <c r="AE128" s="491"/>
    </row>
    <row r="129" spans="1:31" s="6503" customFormat="1" ht="11.25" customHeight="1">
      <c r="A129" s="895"/>
      <c r="B129" s="1547"/>
      <c r="C129" s="1547"/>
      <c r="D129" s="276"/>
      <c r="K129" s="1060"/>
      <c r="L129" s="1547"/>
      <c r="M129" s="1547"/>
      <c r="N129" s="1060"/>
      <c r="O129" s="1060"/>
      <c r="P129" s="1060"/>
      <c r="Q129" s="1060"/>
      <c r="R129" s="1547"/>
      <c r="S129" s="1060"/>
      <c r="T129" s="1060"/>
      <c r="U129" s="469"/>
      <c r="V129" s="1060"/>
      <c r="W129" s="1060"/>
      <c r="X129" s="1060"/>
      <c r="Y129" s="1060"/>
      <c r="Z129" s="1060"/>
      <c r="AA129" s="1543"/>
      <c r="AB129" s="491"/>
      <c r="AC129" s="491"/>
      <c r="AD129" s="491"/>
      <c r="AE129" s="491"/>
    </row>
    <row r="130" spans="1:31" s="6503" customFormat="1" ht="11.25" customHeight="1">
      <c r="A130" s="895"/>
      <c r="B130" s="1547"/>
      <c r="C130" s="1547"/>
      <c r="D130" s="276"/>
      <c r="K130" s="1060"/>
      <c r="L130" s="1547"/>
      <c r="M130" s="1547"/>
      <c r="N130" s="1060"/>
      <c r="O130" s="1060"/>
      <c r="P130" s="1060"/>
      <c r="Q130" s="1060"/>
      <c r="R130" s="1547"/>
      <c r="S130" s="1060"/>
      <c r="T130" s="1060"/>
      <c r="U130" s="469"/>
      <c r="V130" s="1060"/>
      <c r="W130" s="1060"/>
      <c r="X130" s="1060"/>
      <c r="Y130" s="1060"/>
      <c r="Z130" s="1060"/>
      <c r="AA130" s="1543"/>
      <c r="AB130" s="491"/>
      <c r="AC130" s="491"/>
      <c r="AD130" s="491"/>
      <c r="AE130" s="491"/>
    </row>
    <row r="131" spans="1:31" s="6503" customFormat="1" ht="11.25" customHeight="1">
      <c r="A131" s="895"/>
      <c r="B131" s="1547"/>
      <c r="C131" s="1547"/>
      <c r="D131" s="276"/>
      <c r="K131" s="1060"/>
      <c r="L131" s="1547"/>
      <c r="M131" s="1547"/>
      <c r="N131" s="1060"/>
      <c r="O131" s="1060"/>
      <c r="P131" s="1060"/>
      <c r="Q131" s="1060"/>
      <c r="R131" s="1547"/>
      <c r="S131" s="1060"/>
      <c r="T131" s="1060"/>
      <c r="U131" s="469"/>
      <c r="V131" s="1060"/>
      <c r="W131" s="1060"/>
      <c r="X131" s="1060"/>
      <c r="Y131" s="1060"/>
      <c r="Z131" s="1060"/>
      <c r="AA131" s="1543"/>
      <c r="AB131" s="491"/>
      <c r="AC131" s="491"/>
      <c r="AD131" s="491"/>
      <c r="AE131" s="491"/>
    </row>
    <row r="132" spans="1:31" s="6503" customFormat="1" ht="11.25" customHeight="1">
      <c r="A132" s="895"/>
      <c r="B132" s="1547"/>
      <c r="C132" s="1547"/>
      <c r="D132" s="276"/>
      <c r="K132" s="1060"/>
      <c r="L132" s="1547"/>
      <c r="M132" s="1547"/>
      <c r="N132" s="1060"/>
      <c r="O132" s="1060"/>
      <c r="P132" s="1060"/>
      <c r="Q132" s="1060"/>
      <c r="R132" s="1547"/>
      <c r="S132" s="1060"/>
      <c r="T132" s="1060"/>
      <c r="U132" s="469"/>
      <c r="V132" s="1060"/>
      <c r="W132" s="1060"/>
      <c r="X132" s="1060"/>
      <c r="Y132" s="1060"/>
      <c r="Z132" s="1060"/>
      <c r="AA132" s="1543"/>
      <c r="AB132" s="491"/>
      <c r="AC132" s="491"/>
      <c r="AD132" s="491"/>
      <c r="AE132" s="491"/>
    </row>
    <row r="133" spans="1:31" s="6503" customFormat="1" ht="11.25" customHeight="1">
      <c r="A133" s="895"/>
      <c r="B133" s="1547"/>
      <c r="C133" s="1547"/>
      <c r="D133" s="276"/>
      <c r="K133" s="1060"/>
      <c r="L133" s="1547"/>
      <c r="M133" s="1547"/>
      <c r="N133" s="1060"/>
      <c r="O133" s="1060"/>
      <c r="P133" s="1060"/>
      <c r="Q133" s="1060"/>
      <c r="R133" s="1547"/>
      <c r="S133" s="1060"/>
      <c r="T133" s="1060"/>
      <c r="U133" s="469"/>
      <c r="V133" s="1060"/>
      <c r="W133" s="1060"/>
      <c r="X133" s="1060"/>
      <c r="Y133" s="1060"/>
      <c r="Z133" s="1060"/>
      <c r="AA133" s="1543"/>
      <c r="AB133" s="491"/>
      <c r="AC133" s="491"/>
      <c r="AD133" s="491"/>
      <c r="AE133" s="491"/>
    </row>
    <row r="134" spans="1:31" s="6503" customFormat="1" ht="11.25" customHeight="1">
      <c r="A134" s="895"/>
      <c r="B134" s="1547"/>
      <c r="C134" s="1547"/>
      <c r="D134" s="276"/>
      <c r="K134" s="1060"/>
      <c r="L134" s="1547"/>
      <c r="M134" s="1547"/>
      <c r="N134" s="1060"/>
      <c r="O134" s="1060"/>
      <c r="P134" s="1060"/>
      <c r="Q134" s="1060"/>
      <c r="R134" s="1547"/>
      <c r="S134" s="1060"/>
      <c r="T134" s="1060"/>
      <c r="U134" s="469"/>
      <c r="V134" s="1060"/>
      <c r="W134" s="1060"/>
      <c r="X134" s="1060"/>
      <c r="Y134" s="1060"/>
      <c r="Z134" s="1060"/>
      <c r="AA134" s="1543"/>
      <c r="AB134" s="491"/>
      <c r="AC134" s="491"/>
      <c r="AD134" s="491"/>
      <c r="AE134" s="491"/>
    </row>
    <row r="135" spans="1:31" s="6503" customFormat="1" ht="11.25" customHeight="1">
      <c r="A135" s="895"/>
      <c r="B135" s="1547"/>
      <c r="C135" s="1547"/>
      <c r="D135" s="276"/>
      <c r="K135" s="1060"/>
      <c r="L135" s="1547"/>
      <c r="M135" s="1547"/>
      <c r="N135" s="1060"/>
      <c r="O135" s="1060"/>
      <c r="P135" s="1060"/>
      <c r="Q135" s="1060"/>
      <c r="R135" s="1547"/>
      <c r="S135" s="1060"/>
      <c r="T135" s="1060"/>
      <c r="U135" s="469"/>
      <c r="V135" s="1060"/>
      <c r="W135" s="1060"/>
      <c r="X135" s="1060"/>
      <c r="Y135" s="1060"/>
      <c r="Z135" s="1060"/>
      <c r="AA135" s="1543"/>
      <c r="AB135" s="491"/>
      <c r="AC135" s="491"/>
      <c r="AD135" s="491"/>
      <c r="AE135" s="491"/>
    </row>
    <row r="136" spans="1:31" s="6503" customFormat="1" ht="11.25" customHeight="1">
      <c r="A136" s="895"/>
      <c r="B136" s="1547"/>
      <c r="C136" s="1547"/>
      <c r="D136" s="276"/>
      <c r="K136" s="1060"/>
      <c r="L136" s="1547"/>
      <c r="M136" s="1547"/>
      <c r="N136" s="1060"/>
      <c r="O136" s="1060"/>
      <c r="P136" s="1060"/>
      <c r="Q136" s="1060"/>
      <c r="R136" s="1547"/>
      <c r="S136" s="1060"/>
      <c r="T136" s="1060"/>
      <c r="U136" s="469"/>
      <c r="V136" s="1060"/>
      <c r="W136" s="1060"/>
      <c r="X136" s="1060"/>
      <c r="Y136" s="1060"/>
      <c r="Z136" s="1060"/>
      <c r="AA136" s="1543"/>
      <c r="AB136" s="491"/>
      <c r="AC136" s="491"/>
      <c r="AD136" s="491"/>
      <c r="AE136" s="491"/>
    </row>
    <row r="137" spans="1:31" s="6503" customFormat="1" ht="11.25" customHeight="1">
      <c r="A137" s="895"/>
      <c r="B137" s="1547"/>
      <c r="C137" s="1547"/>
      <c r="D137" s="276"/>
      <c r="K137" s="1060"/>
      <c r="L137" s="1547"/>
      <c r="M137" s="1547"/>
      <c r="N137" s="1060"/>
      <c r="O137" s="1060"/>
      <c r="P137" s="1060"/>
      <c r="Q137" s="1060"/>
      <c r="R137" s="1547"/>
      <c r="S137" s="1060"/>
      <c r="T137" s="1060"/>
      <c r="U137" s="469"/>
      <c r="V137" s="1060"/>
      <c r="W137" s="1060"/>
      <c r="X137" s="1060"/>
      <c r="Y137" s="1060"/>
      <c r="Z137" s="1060"/>
      <c r="AA137" s="1543"/>
      <c r="AB137" s="491"/>
      <c r="AC137" s="491"/>
      <c r="AD137" s="491"/>
      <c r="AE137" s="491"/>
    </row>
    <row r="138" spans="1:31" s="6503" customFormat="1" ht="11.25" customHeight="1">
      <c r="A138" s="895"/>
      <c r="B138" s="1547"/>
      <c r="C138" s="1547"/>
      <c r="D138" s="276"/>
      <c r="K138" s="1060"/>
      <c r="L138" s="1547"/>
      <c r="M138" s="1547"/>
      <c r="N138" s="1060"/>
      <c r="O138" s="1060"/>
      <c r="P138" s="1060"/>
      <c r="Q138" s="1060"/>
      <c r="R138" s="1547"/>
      <c r="S138" s="1060"/>
      <c r="T138" s="1060"/>
      <c r="U138" s="469"/>
      <c r="V138" s="1060"/>
      <c r="W138" s="1060"/>
      <c r="X138" s="1060"/>
      <c r="Y138" s="1060"/>
      <c r="Z138" s="1060"/>
      <c r="AA138" s="1543"/>
      <c r="AB138" s="491"/>
      <c r="AC138" s="491"/>
      <c r="AD138" s="491"/>
      <c r="AE138" s="491"/>
    </row>
    <row r="139" spans="1:31" s="6503" customFormat="1" ht="11.25" customHeight="1">
      <c r="A139" s="895"/>
      <c r="B139" s="1547"/>
      <c r="C139" s="1547"/>
      <c r="D139" s="276"/>
      <c r="K139" s="1060"/>
      <c r="L139" s="1547"/>
      <c r="M139" s="1547"/>
      <c r="N139" s="1060"/>
      <c r="O139" s="1060"/>
      <c r="P139" s="1060"/>
      <c r="Q139" s="1060"/>
      <c r="R139" s="1547"/>
      <c r="S139" s="1060"/>
      <c r="T139" s="1060"/>
      <c r="U139" s="469"/>
      <c r="V139" s="1060"/>
      <c r="W139" s="1060"/>
      <c r="X139" s="1060"/>
      <c r="Y139" s="1060"/>
      <c r="Z139" s="1060"/>
      <c r="AA139" s="1543"/>
      <c r="AB139" s="491"/>
      <c r="AC139" s="491"/>
      <c r="AD139" s="491"/>
      <c r="AE139" s="491"/>
    </row>
    <row r="140" spans="1:31" s="6503" customFormat="1" ht="11.25" customHeight="1">
      <c r="A140" s="895"/>
      <c r="B140" s="1547"/>
      <c r="C140" s="1547"/>
      <c r="D140" s="276"/>
      <c r="K140" s="1060"/>
      <c r="L140" s="1547"/>
      <c r="M140" s="1547"/>
      <c r="N140" s="1060"/>
      <c r="O140" s="1060"/>
      <c r="P140" s="1060"/>
      <c r="Q140" s="1060"/>
      <c r="R140" s="1547"/>
      <c r="S140" s="1060"/>
      <c r="T140" s="1060"/>
      <c r="U140" s="469"/>
      <c r="V140" s="1060"/>
      <c r="W140" s="1060"/>
      <c r="X140" s="1060"/>
      <c r="Y140" s="1060"/>
      <c r="Z140" s="1060"/>
      <c r="AA140" s="1543"/>
      <c r="AB140" s="491"/>
      <c r="AC140" s="491"/>
      <c r="AD140" s="491"/>
      <c r="AE140" s="491"/>
    </row>
    <row r="141" spans="1:31" s="6503" customFormat="1" ht="11.25" customHeight="1">
      <c r="A141" s="895"/>
      <c r="B141" s="1547"/>
      <c r="C141" s="1547"/>
      <c r="D141" s="276"/>
      <c r="K141" s="1060"/>
      <c r="L141" s="1547"/>
      <c r="M141" s="1547"/>
      <c r="N141" s="1060"/>
      <c r="O141" s="1060"/>
      <c r="P141" s="1060"/>
      <c r="Q141" s="1060"/>
      <c r="R141" s="1547"/>
      <c r="S141" s="1060"/>
      <c r="T141" s="1060"/>
      <c r="U141" s="469"/>
      <c r="V141" s="1060"/>
      <c r="W141" s="1060"/>
      <c r="X141" s="1060"/>
      <c r="Y141" s="1060"/>
      <c r="Z141" s="1060"/>
      <c r="AA141" s="1543"/>
      <c r="AB141" s="491"/>
      <c r="AC141" s="491"/>
      <c r="AD141" s="491"/>
      <c r="AE141" s="491"/>
    </row>
    <row r="142" spans="1:31" s="6503" customFormat="1" ht="11.25" customHeight="1">
      <c r="A142" s="895"/>
      <c r="B142" s="1547"/>
      <c r="C142" s="1547"/>
      <c r="D142" s="276"/>
      <c r="K142" s="1060"/>
      <c r="L142" s="1547"/>
      <c r="M142" s="1547"/>
      <c r="N142" s="1060"/>
      <c r="O142" s="1060"/>
      <c r="P142" s="1060"/>
      <c r="Q142" s="1060"/>
      <c r="R142" s="1547"/>
      <c r="S142" s="1060"/>
      <c r="T142" s="1060"/>
      <c r="U142" s="469"/>
      <c r="V142" s="1060"/>
      <c r="W142" s="1060"/>
      <c r="X142" s="1060"/>
      <c r="Y142" s="1060"/>
      <c r="Z142" s="1060"/>
      <c r="AA142" s="1543"/>
      <c r="AB142" s="491"/>
      <c r="AC142" s="491"/>
      <c r="AD142" s="491"/>
      <c r="AE142" s="491"/>
    </row>
    <row r="143" spans="1:31" s="6503" customFormat="1" ht="11.25" customHeight="1">
      <c r="A143" s="895"/>
      <c r="B143" s="1547"/>
      <c r="C143" s="1547"/>
      <c r="D143" s="276"/>
      <c r="K143" s="1060"/>
      <c r="L143" s="1547"/>
      <c r="M143" s="1547"/>
      <c r="N143" s="1060"/>
      <c r="O143" s="1060"/>
      <c r="P143" s="1060"/>
      <c r="Q143" s="1060"/>
      <c r="R143" s="1547"/>
      <c r="S143" s="1060"/>
      <c r="T143" s="1060"/>
      <c r="U143" s="469"/>
      <c r="V143" s="1060"/>
      <c r="W143" s="1060"/>
      <c r="X143" s="1060"/>
      <c r="Y143" s="1060"/>
      <c r="Z143" s="1060"/>
      <c r="AA143" s="1543"/>
      <c r="AB143" s="491"/>
      <c r="AC143" s="491"/>
      <c r="AD143" s="491"/>
      <c r="AE143" s="491"/>
    </row>
    <row r="144" spans="1:31" s="6503" customFormat="1" ht="11.25" customHeight="1">
      <c r="A144" s="895"/>
      <c r="B144" s="1547"/>
      <c r="C144" s="1547"/>
      <c r="D144" s="276"/>
      <c r="K144" s="1060"/>
      <c r="L144" s="1547"/>
      <c r="M144" s="1547"/>
      <c r="N144" s="1060"/>
      <c r="O144" s="1060"/>
      <c r="P144" s="1060"/>
      <c r="Q144" s="1060"/>
      <c r="R144" s="1547"/>
      <c r="S144" s="1060"/>
      <c r="T144" s="1060"/>
      <c r="U144" s="469"/>
      <c r="V144" s="1060"/>
      <c r="W144" s="1060"/>
      <c r="X144" s="1060"/>
      <c r="Y144" s="1060"/>
      <c r="Z144" s="1060"/>
      <c r="AA144" s="1543"/>
      <c r="AB144" s="491"/>
      <c r="AC144" s="491"/>
      <c r="AD144" s="491"/>
      <c r="AE144" s="491"/>
    </row>
    <row r="145" spans="1:31" s="6503" customFormat="1" ht="11.25" customHeight="1">
      <c r="A145" s="895"/>
      <c r="B145" s="1547"/>
      <c r="C145" s="1547"/>
      <c r="D145" s="276"/>
      <c r="K145" s="1060"/>
      <c r="L145" s="1547"/>
      <c r="M145" s="1547"/>
      <c r="N145" s="1060"/>
      <c r="O145" s="1060"/>
      <c r="P145" s="1060"/>
      <c r="Q145" s="1060"/>
      <c r="R145" s="1547"/>
      <c r="S145" s="1060"/>
      <c r="T145" s="1060"/>
      <c r="U145" s="469"/>
      <c r="V145" s="1060"/>
      <c r="W145" s="1060"/>
      <c r="X145" s="1060"/>
      <c r="Y145" s="1060"/>
      <c r="Z145" s="1060"/>
      <c r="AA145" s="1543"/>
      <c r="AB145" s="491"/>
      <c r="AC145" s="491"/>
      <c r="AD145" s="491"/>
      <c r="AE145" s="491"/>
    </row>
    <row r="146" spans="1:31" s="6503" customFormat="1" ht="11.25" customHeight="1">
      <c r="A146" s="895"/>
      <c r="B146" s="1547"/>
      <c r="C146" s="1547"/>
      <c r="D146" s="276"/>
      <c r="K146" s="1060"/>
      <c r="L146" s="1547"/>
      <c r="M146" s="1547"/>
      <c r="N146" s="1060"/>
      <c r="O146" s="1060"/>
      <c r="P146" s="1060"/>
      <c r="Q146" s="1060"/>
      <c r="R146" s="1547"/>
      <c r="S146" s="1060"/>
      <c r="T146" s="1060"/>
      <c r="U146" s="469"/>
      <c r="V146" s="1060"/>
      <c r="W146" s="1060"/>
      <c r="X146" s="1060"/>
      <c r="Y146" s="1060"/>
      <c r="Z146" s="1060"/>
      <c r="AA146" s="1543"/>
      <c r="AB146" s="491"/>
      <c r="AC146" s="491"/>
      <c r="AD146" s="491"/>
      <c r="AE146" s="491"/>
    </row>
    <row r="147" spans="1:31" s="6503" customFormat="1" ht="11.25" customHeight="1">
      <c r="A147" s="895"/>
      <c r="B147" s="1547"/>
      <c r="C147" s="1547"/>
      <c r="D147" s="276"/>
      <c r="K147" s="1060"/>
      <c r="L147" s="1547"/>
      <c r="M147" s="1547"/>
      <c r="N147" s="1060"/>
      <c r="O147" s="1060"/>
      <c r="P147" s="1060"/>
      <c r="Q147" s="1060"/>
      <c r="R147" s="1547"/>
      <c r="S147" s="1060"/>
      <c r="T147" s="1060"/>
      <c r="U147" s="469"/>
      <c r="V147" s="1060"/>
      <c r="W147" s="1060"/>
      <c r="X147" s="1060"/>
      <c r="Y147" s="1060"/>
      <c r="Z147" s="1060"/>
      <c r="AA147" s="1543"/>
      <c r="AB147" s="491"/>
      <c r="AC147" s="491"/>
      <c r="AD147" s="491"/>
      <c r="AE147" s="491"/>
    </row>
    <row r="148" spans="1:31" s="6503" customFormat="1" ht="11.25" customHeight="1">
      <c r="A148" s="895"/>
      <c r="B148" s="1547"/>
      <c r="C148" s="1547"/>
      <c r="D148" s="276"/>
      <c r="K148" s="1060"/>
      <c r="L148" s="1547"/>
      <c r="M148" s="1547"/>
      <c r="N148" s="1060"/>
      <c r="O148" s="1060"/>
      <c r="P148" s="1060"/>
      <c r="Q148" s="1060"/>
      <c r="R148" s="1547"/>
      <c r="S148" s="1060"/>
      <c r="T148" s="1060"/>
      <c r="U148" s="469"/>
      <c r="V148" s="1060"/>
      <c r="W148" s="1060"/>
      <c r="X148" s="1060"/>
      <c r="Y148" s="1060"/>
      <c r="Z148" s="1060"/>
      <c r="AA148" s="1543"/>
      <c r="AB148" s="491"/>
      <c r="AC148" s="491"/>
      <c r="AD148" s="491"/>
      <c r="AE148" s="491"/>
    </row>
    <row r="149" spans="1:31" s="6503" customFormat="1" ht="11.25" customHeight="1">
      <c r="A149" s="895"/>
      <c r="B149" s="1547"/>
      <c r="C149" s="1547"/>
      <c r="D149" s="276"/>
      <c r="K149" s="1060"/>
      <c r="L149" s="1547"/>
      <c r="M149" s="1547"/>
      <c r="N149" s="1060"/>
      <c r="O149" s="1060"/>
      <c r="P149" s="1060"/>
      <c r="Q149" s="1060"/>
      <c r="R149" s="1547"/>
      <c r="S149" s="1060"/>
      <c r="T149" s="1060"/>
      <c r="U149" s="469"/>
      <c r="V149" s="1060"/>
      <c r="W149" s="1060"/>
      <c r="X149" s="1060"/>
      <c r="Y149" s="1060"/>
      <c r="Z149" s="1060"/>
      <c r="AA149" s="1543"/>
      <c r="AB149" s="491"/>
      <c r="AC149" s="491"/>
      <c r="AD149" s="491"/>
      <c r="AE149" s="491"/>
    </row>
    <row r="150" spans="1:31" s="6503" customFormat="1" ht="11.25" customHeight="1">
      <c r="A150" s="895"/>
      <c r="B150" s="1547"/>
      <c r="C150" s="1547"/>
      <c r="D150" s="276"/>
      <c r="K150" s="1060"/>
      <c r="L150" s="1547"/>
      <c r="M150" s="1547"/>
      <c r="N150" s="1060"/>
      <c r="O150" s="1060"/>
      <c r="P150" s="1060"/>
      <c r="Q150" s="1060"/>
      <c r="R150" s="1547"/>
      <c r="S150" s="1060"/>
      <c r="T150" s="1060"/>
      <c r="U150" s="469"/>
      <c r="V150" s="1060"/>
      <c r="W150" s="1060"/>
      <c r="X150" s="1060"/>
      <c r="Y150" s="1060"/>
      <c r="Z150" s="1060"/>
      <c r="AA150" s="1543"/>
      <c r="AB150" s="491"/>
      <c r="AC150" s="491"/>
      <c r="AD150" s="491"/>
      <c r="AE150" s="491"/>
    </row>
    <row r="151" spans="1:31" s="6503" customFormat="1" ht="11.25" customHeight="1">
      <c r="A151" s="895"/>
      <c r="B151" s="1547"/>
      <c r="C151" s="1547"/>
      <c r="D151" s="276"/>
      <c r="K151" s="1060"/>
      <c r="L151" s="1547"/>
      <c r="M151" s="1547"/>
      <c r="N151" s="1060"/>
      <c r="O151" s="1060"/>
      <c r="P151" s="1060"/>
      <c r="Q151" s="1060"/>
      <c r="R151" s="1547"/>
      <c r="S151" s="1060"/>
      <c r="T151" s="1060"/>
      <c r="U151" s="469"/>
      <c r="V151" s="1060"/>
      <c r="W151" s="1060"/>
      <c r="X151" s="1060"/>
      <c r="Y151" s="1060"/>
      <c r="Z151" s="1060"/>
      <c r="AA151" s="1543"/>
      <c r="AB151" s="491"/>
      <c r="AC151" s="491"/>
      <c r="AD151" s="491"/>
      <c r="AE151" s="491"/>
    </row>
    <row r="152" spans="1:31" s="6503" customFormat="1" ht="11.25" customHeight="1">
      <c r="A152" s="895"/>
      <c r="B152" s="1547"/>
      <c r="C152" s="1547"/>
      <c r="D152" s="276"/>
      <c r="K152" s="1060"/>
      <c r="L152" s="1547"/>
      <c r="M152" s="1547"/>
      <c r="N152" s="1060"/>
      <c r="O152" s="1060"/>
      <c r="P152" s="1060"/>
      <c r="Q152" s="1060"/>
      <c r="R152" s="1547"/>
      <c r="S152" s="1060"/>
      <c r="T152" s="1060"/>
      <c r="U152" s="469"/>
      <c r="V152" s="1060"/>
      <c r="W152" s="1060"/>
      <c r="X152" s="1060"/>
      <c r="Y152" s="1060"/>
      <c r="Z152" s="1060"/>
      <c r="AA152" s="1543"/>
      <c r="AB152" s="491"/>
      <c r="AC152" s="491"/>
      <c r="AD152" s="491"/>
      <c r="AE152" s="491"/>
    </row>
    <row r="153" spans="1:31" s="6503" customFormat="1" ht="11.25" customHeight="1">
      <c r="A153" s="895"/>
      <c r="B153" s="1547"/>
      <c r="C153" s="1547"/>
      <c r="D153" s="276"/>
      <c r="K153" s="1060"/>
      <c r="L153" s="1547"/>
      <c r="M153" s="1547"/>
      <c r="N153" s="1060"/>
      <c r="O153" s="1060"/>
      <c r="P153" s="1060"/>
      <c r="Q153" s="1060"/>
      <c r="R153" s="1547"/>
      <c r="S153" s="1060"/>
      <c r="T153" s="1060"/>
      <c r="U153" s="469"/>
      <c r="V153" s="1060"/>
      <c r="W153" s="1060"/>
      <c r="X153" s="1060"/>
      <c r="Y153" s="1060"/>
      <c r="Z153" s="1060"/>
      <c r="AA153" s="1543"/>
      <c r="AB153" s="491"/>
      <c r="AC153" s="491"/>
      <c r="AD153" s="491"/>
      <c r="AE153" s="491"/>
    </row>
    <row r="154" spans="1:31" s="6503" customFormat="1" ht="11.25" customHeight="1">
      <c r="A154" s="895"/>
      <c r="B154" s="1547"/>
      <c r="C154" s="1547"/>
      <c r="D154" s="276"/>
      <c r="K154" s="1060"/>
      <c r="L154" s="1547"/>
      <c r="M154" s="1547"/>
      <c r="N154" s="1060"/>
      <c r="O154" s="1060"/>
      <c r="P154" s="1060"/>
      <c r="Q154" s="1060"/>
      <c r="R154" s="1547"/>
      <c r="S154" s="1060"/>
      <c r="T154" s="1060"/>
      <c r="U154" s="469"/>
      <c r="V154" s="1060"/>
      <c r="W154" s="1060"/>
      <c r="X154" s="1060"/>
      <c r="Y154" s="1060"/>
      <c r="Z154" s="1060"/>
      <c r="AA154" s="1543"/>
      <c r="AB154" s="491"/>
      <c r="AC154" s="491"/>
      <c r="AD154" s="491"/>
      <c r="AE154" s="491"/>
    </row>
    <row r="155" spans="1:31" s="6503" customFormat="1" ht="11.25" customHeight="1">
      <c r="A155" s="895"/>
      <c r="B155" s="1547"/>
      <c r="C155" s="1547"/>
      <c r="D155" s="276"/>
      <c r="K155" s="1060"/>
      <c r="L155" s="1547"/>
      <c r="M155" s="1547"/>
      <c r="N155" s="1060"/>
      <c r="O155" s="1060"/>
      <c r="P155" s="1060"/>
      <c r="Q155" s="1060"/>
      <c r="R155" s="1547"/>
      <c r="S155" s="1060"/>
      <c r="T155" s="1060"/>
      <c r="U155" s="469"/>
      <c r="V155" s="1060"/>
      <c r="W155" s="1060"/>
      <c r="X155" s="1060"/>
      <c r="Y155" s="1060"/>
      <c r="Z155" s="1060"/>
      <c r="AA155" s="1543"/>
      <c r="AB155" s="491"/>
      <c r="AC155" s="491"/>
      <c r="AD155" s="491"/>
      <c r="AE155" s="491"/>
    </row>
    <row r="156" spans="1:31" s="6503" customFormat="1" ht="11.25" customHeight="1">
      <c r="A156" s="895"/>
      <c r="B156" s="1547"/>
      <c r="C156" s="1547"/>
      <c r="D156" s="276"/>
      <c r="K156" s="1060"/>
      <c r="L156" s="1547"/>
      <c r="M156" s="1547"/>
      <c r="N156" s="1060"/>
      <c r="O156" s="1060"/>
      <c r="P156" s="1060"/>
      <c r="Q156" s="1060"/>
      <c r="R156" s="1547"/>
      <c r="S156" s="1060"/>
      <c r="T156" s="1060"/>
      <c r="U156" s="469"/>
      <c r="V156" s="1060"/>
      <c r="W156" s="1060"/>
      <c r="X156" s="1060"/>
      <c r="Y156" s="1060"/>
      <c r="Z156" s="1060"/>
      <c r="AA156" s="1543"/>
      <c r="AB156" s="491"/>
      <c r="AC156" s="491"/>
      <c r="AD156" s="491"/>
      <c r="AE156" s="491"/>
    </row>
    <row r="157" spans="1:31" s="6503" customFormat="1" ht="11.25" customHeight="1">
      <c r="A157" s="895"/>
      <c r="B157" s="1547"/>
      <c r="C157" s="1547"/>
      <c r="D157" s="276"/>
      <c r="K157" s="1060"/>
      <c r="L157" s="1547"/>
      <c r="M157" s="1547"/>
      <c r="N157" s="1060"/>
      <c r="O157" s="1060"/>
      <c r="P157" s="1060"/>
      <c r="Q157" s="1060"/>
      <c r="R157" s="1547"/>
      <c r="S157" s="1060"/>
      <c r="T157" s="1060"/>
      <c r="U157" s="469"/>
      <c r="V157" s="1060"/>
      <c r="W157" s="1060"/>
      <c r="X157" s="1060"/>
      <c r="Y157" s="1060"/>
      <c r="Z157" s="1060"/>
      <c r="AA157" s="1543"/>
      <c r="AB157" s="491"/>
      <c r="AC157" s="491"/>
      <c r="AD157" s="491"/>
      <c r="AE157" s="491"/>
    </row>
    <row r="158" spans="1:31" s="6503" customFormat="1" ht="11.25" customHeight="1">
      <c r="A158" s="895"/>
      <c r="B158" s="1547"/>
      <c r="C158" s="1547"/>
      <c r="D158" s="276"/>
      <c r="K158" s="1060"/>
      <c r="L158" s="1547"/>
      <c r="M158" s="1547"/>
      <c r="N158" s="1060"/>
      <c r="O158" s="1060"/>
      <c r="P158" s="1060"/>
      <c r="Q158" s="1060"/>
      <c r="R158" s="1547"/>
      <c r="S158" s="1060"/>
      <c r="T158" s="1060"/>
      <c r="U158" s="469"/>
      <c r="V158" s="1060"/>
      <c r="W158" s="1060"/>
      <c r="X158" s="1060"/>
      <c r="Y158" s="1060"/>
      <c r="Z158" s="1060"/>
      <c r="AA158" s="1543"/>
      <c r="AB158" s="491"/>
      <c r="AC158" s="491"/>
      <c r="AD158" s="491"/>
      <c r="AE158" s="491"/>
    </row>
    <row r="159" spans="1:31" s="6503" customFormat="1" ht="11.25" customHeight="1">
      <c r="A159" s="895"/>
      <c r="B159" s="1547"/>
      <c r="C159" s="1547"/>
      <c r="D159" s="276"/>
      <c r="K159" s="1060"/>
      <c r="L159" s="1547"/>
      <c r="M159" s="1547"/>
      <c r="N159" s="1060"/>
      <c r="O159" s="1060"/>
      <c r="P159" s="1060"/>
      <c r="Q159" s="1060"/>
      <c r="R159" s="1547"/>
      <c r="S159" s="1060"/>
      <c r="T159" s="1060"/>
      <c r="U159" s="469"/>
      <c r="V159" s="1060"/>
      <c r="W159" s="1060"/>
      <c r="X159" s="1060"/>
      <c r="Y159" s="1060"/>
      <c r="Z159" s="1060"/>
      <c r="AA159" s="1543"/>
      <c r="AB159" s="491"/>
      <c r="AC159" s="491"/>
      <c r="AD159" s="491"/>
      <c r="AE159" s="491"/>
    </row>
    <row r="160" spans="1:31" s="6503" customFormat="1" ht="11.25" customHeight="1">
      <c r="A160" s="895"/>
      <c r="B160" s="1547"/>
      <c r="C160" s="1547"/>
      <c r="D160" s="276"/>
      <c r="K160" s="1060"/>
      <c r="L160" s="1547"/>
      <c r="M160" s="1547"/>
      <c r="N160" s="1060"/>
      <c r="O160" s="1060"/>
      <c r="P160" s="1060"/>
      <c r="Q160" s="1060"/>
      <c r="R160" s="1547"/>
      <c r="S160" s="1060"/>
      <c r="T160" s="1060"/>
      <c r="U160" s="469"/>
      <c r="V160" s="1060"/>
      <c r="W160" s="1060"/>
      <c r="X160" s="1060"/>
      <c r="Y160" s="1060"/>
      <c r="Z160" s="1060"/>
      <c r="AA160" s="1543"/>
      <c r="AB160" s="491"/>
      <c r="AC160" s="491"/>
      <c r="AD160" s="491"/>
      <c r="AE160" s="491"/>
    </row>
    <row r="161" spans="1:31" s="6503" customFormat="1" ht="11.25" customHeight="1">
      <c r="A161" s="895"/>
      <c r="B161" s="1547"/>
      <c r="C161" s="1547"/>
      <c r="D161" s="276"/>
      <c r="K161" s="1060"/>
      <c r="L161" s="1547"/>
      <c r="M161" s="1547"/>
      <c r="N161" s="1060"/>
      <c r="O161" s="1060"/>
      <c r="P161" s="1060"/>
      <c r="Q161" s="1060"/>
      <c r="R161" s="1547"/>
      <c r="S161" s="1060"/>
      <c r="T161" s="1060"/>
      <c r="U161" s="469"/>
      <c r="V161" s="1060"/>
      <c r="W161" s="1060"/>
      <c r="X161" s="1060"/>
      <c r="Y161" s="1060"/>
      <c r="Z161" s="1060"/>
      <c r="AA161" s="1543"/>
      <c r="AB161" s="491"/>
      <c r="AC161" s="491"/>
      <c r="AD161" s="491"/>
      <c r="AE161" s="491"/>
    </row>
    <row r="162" spans="1:31" s="6503" customFormat="1" ht="11.25" customHeight="1">
      <c r="A162" s="895"/>
      <c r="B162" s="1547"/>
      <c r="C162" s="1547"/>
      <c r="D162" s="276"/>
      <c r="K162" s="1060"/>
      <c r="L162" s="1547"/>
      <c r="M162" s="1547"/>
      <c r="N162" s="1060"/>
      <c r="O162" s="1060"/>
      <c r="P162" s="1060"/>
      <c r="Q162" s="1060"/>
      <c r="R162" s="1547"/>
      <c r="S162" s="1060"/>
      <c r="T162" s="1060"/>
      <c r="U162" s="469"/>
      <c r="V162" s="1060"/>
      <c r="W162" s="1060"/>
      <c r="X162" s="1060"/>
      <c r="Y162" s="1060"/>
      <c r="Z162" s="1060"/>
      <c r="AA162" s="1543"/>
      <c r="AB162" s="491"/>
      <c r="AC162" s="491"/>
      <c r="AD162" s="491"/>
      <c r="AE162" s="491"/>
    </row>
    <row r="163" spans="1:31" s="6503" customFormat="1" ht="11.25" customHeight="1">
      <c r="A163" s="895"/>
      <c r="B163" s="1547"/>
      <c r="C163" s="1547"/>
      <c r="D163" s="276"/>
      <c r="K163" s="1060"/>
      <c r="L163" s="1547"/>
      <c r="M163" s="1547"/>
      <c r="N163" s="1060"/>
      <c r="O163" s="1060"/>
      <c r="P163" s="1060"/>
      <c r="Q163" s="1060"/>
      <c r="R163" s="1547"/>
      <c r="S163" s="1060"/>
      <c r="T163" s="1060"/>
      <c r="U163" s="469"/>
      <c r="V163" s="1060"/>
      <c r="W163" s="1060"/>
      <c r="X163" s="1060"/>
      <c r="Y163" s="1060"/>
      <c r="Z163" s="1060"/>
      <c r="AA163" s="1543"/>
      <c r="AB163" s="491"/>
      <c r="AC163" s="491"/>
      <c r="AD163" s="491"/>
      <c r="AE163" s="491"/>
    </row>
    <row r="164" spans="1:31" s="6503" customFormat="1" ht="11.25" customHeight="1">
      <c r="A164" s="895"/>
      <c r="B164" s="1547"/>
      <c r="C164" s="1547"/>
      <c r="D164" s="276"/>
      <c r="K164" s="1060"/>
      <c r="L164" s="1547"/>
      <c r="M164" s="1547"/>
      <c r="N164" s="1060"/>
      <c r="O164" s="1060"/>
      <c r="P164" s="1060"/>
      <c r="Q164" s="1060"/>
      <c r="R164" s="1547"/>
      <c r="S164" s="1060"/>
      <c r="T164" s="1060"/>
      <c r="U164" s="469"/>
      <c r="V164" s="1060"/>
      <c r="W164" s="1060"/>
      <c r="X164" s="1060"/>
      <c r="Y164" s="1060"/>
      <c r="Z164" s="1060"/>
      <c r="AA164" s="1543"/>
      <c r="AB164" s="491"/>
      <c r="AC164" s="491"/>
      <c r="AD164" s="491"/>
      <c r="AE164" s="491"/>
    </row>
    <row r="165" spans="1:31" s="6503" customFormat="1" ht="11.25" customHeight="1">
      <c r="A165" s="895"/>
      <c r="B165" s="1547"/>
      <c r="C165" s="1547"/>
      <c r="D165" s="276"/>
      <c r="K165" s="1060"/>
      <c r="L165" s="1547"/>
      <c r="M165" s="1547"/>
      <c r="N165" s="1060"/>
      <c r="O165" s="1060"/>
      <c r="P165" s="1060"/>
      <c r="Q165" s="1060"/>
      <c r="R165" s="1547"/>
      <c r="S165" s="1060"/>
      <c r="T165" s="1060"/>
      <c r="U165" s="469"/>
      <c r="V165" s="1060"/>
      <c r="W165" s="1060"/>
      <c r="X165" s="1060"/>
      <c r="Y165" s="1060"/>
      <c r="Z165" s="1060"/>
      <c r="AA165" s="1543"/>
      <c r="AB165" s="491"/>
      <c r="AC165" s="491"/>
      <c r="AD165" s="491"/>
      <c r="AE165" s="491"/>
    </row>
    <row r="166" spans="1:31" s="6503" customFormat="1" ht="11.25" customHeight="1">
      <c r="A166" s="895"/>
      <c r="B166" s="1547"/>
      <c r="C166" s="1547"/>
      <c r="D166" s="276"/>
      <c r="K166" s="1060"/>
      <c r="L166" s="1547"/>
      <c r="M166" s="1547"/>
      <c r="N166" s="1060"/>
      <c r="O166" s="1060"/>
      <c r="P166" s="1060"/>
      <c r="Q166" s="1060"/>
      <c r="R166" s="1547"/>
      <c r="S166" s="1060"/>
      <c r="T166" s="1060"/>
      <c r="U166" s="469"/>
      <c r="V166" s="1060"/>
      <c r="W166" s="1060"/>
      <c r="X166" s="1060"/>
      <c r="Y166" s="1060"/>
      <c r="Z166" s="1060"/>
      <c r="AA166" s="1543"/>
      <c r="AB166" s="491"/>
      <c r="AC166" s="491"/>
      <c r="AD166" s="491"/>
      <c r="AE166" s="491"/>
    </row>
    <row r="167" spans="1:31" s="6503" customFormat="1" ht="11.25" customHeight="1">
      <c r="A167" s="895"/>
      <c r="B167" s="1547"/>
      <c r="C167" s="1547"/>
      <c r="D167" s="276"/>
      <c r="K167" s="1060"/>
      <c r="L167" s="1547"/>
      <c r="M167" s="1547"/>
      <c r="N167" s="1060"/>
      <c r="O167" s="1060"/>
      <c r="P167" s="1060"/>
      <c r="Q167" s="1060"/>
      <c r="R167" s="1547"/>
      <c r="S167" s="1060"/>
      <c r="T167" s="1060"/>
      <c r="U167" s="469"/>
      <c r="V167" s="1060"/>
      <c r="W167" s="1060"/>
      <c r="X167" s="1060"/>
      <c r="Y167" s="1060"/>
      <c r="Z167" s="1060"/>
      <c r="AA167" s="1543"/>
      <c r="AB167" s="491"/>
      <c r="AC167" s="491"/>
      <c r="AD167" s="491"/>
      <c r="AE167" s="491"/>
    </row>
    <row r="168" spans="1:31" s="6503" customFormat="1" ht="11.25" customHeight="1">
      <c r="A168" s="895"/>
      <c r="B168" s="1547"/>
      <c r="C168" s="1547"/>
      <c r="D168" s="276"/>
      <c r="K168" s="1060"/>
      <c r="L168" s="1547"/>
      <c r="M168" s="1547"/>
      <c r="N168" s="1060"/>
      <c r="O168" s="1060"/>
      <c r="P168" s="1060"/>
      <c r="Q168" s="1060"/>
      <c r="R168" s="1547"/>
      <c r="S168" s="1060"/>
      <c r="T168" s="1060"/>
      <c r="U168" s="469"/>
      <c r="V168" s="1060"/>
      <c r="W168" s="1060"/>
      <c r="X168" s="1060"/>
      <c r="Y168" s="1060"/>
      <c r="Z168" s="1060"/>
      <c r="AA168" s="1543"/>
      <c r="AB168" s="491"/>
      <c r="AC168" s="491"/>
      <c r="AD168" s="491"/>
      <c r="AE168" s="491"/>
    </row>
    <row r="169" spans="1:31" s="6503" customFormat="1" ht="11.25" customHeight="1">
      <c r="A169" s="895"/>
      <c r="B169" s="1547"/>
      <c r="C169" s="1547"/>
      <c r="D169" s="276"/>
      <c r="K169" s="1060"/>
      <c r="L169" s="1547"/>
      <c r="M169" s="1547"/>
      <c r="N169" s="1060"/>
      <c r="O169" s="1060"/>
      <c r="P169" s="1060"/>
      <c r="Q169" s="1060"/>
      <c r="R169" s="1547"/>
      <c r="S169" s="1060"/>
      <c r="T169" s="1060"/>
      <c r="U169" s="469"/>
      <c r="V169" s="1060"/>
      <c r="W169" s="1060"/>
      <c r="X169" s="1060"/>
      <c r="Y169" s="1060"/>
      <c r="Z169" s="1060"/>
      <c r="AA169" s="1543"/>
      <c r="AB169" s="491"/>
      <c r="AC169" s="491"/>
      <c r="AD169" s="491"/>
      <c r="AE169" s="491"/>
    </row>
    <row r="170" spans="1:31" s="6503" customFormat="1" ht="11.25" customHeight="1">
      <c r="A170" s="895"/>
      <c r="B170" s="1547"/>
      <c r="C170" s="1547"/>
      <c r="D170" s="276"/>
      <c r="K170" s="1060"/>
      <c r="L170" s="1547"/>
      <c r="M170" s="1547"/>
      <c r="N170" s="1060"/>
      <c r="O170" s="1060"/>
      <c r="P170" s="1060"/>
      <c r="Q170" s="1060"/>
      <c r="R170" s="1547"/>
      <c r="S170" s="1060"/>
      <c r="T170" s="1060"/>
      <c r="U170" s="469"/>
      <c r="V170" s="1060"/>
      <c r="W170" s="1060"/>
      <c r="X170" s="1060"/>
      <c r="Y170" s="1060"/>
      <c r="Z170" s="1060"/>
      <c r="AA170" s="1543"/>
      <c r="AB170" s="491"/>
      <c r="AC170" s="491"/>
      <c r="AD170" s="491"/>
      <c r="AE170" s="491"/>
    </row>
    <row r="171" spans="1:31" s="6503" customFormat="1" ht="11.25" customHeight="1">
      <c r="A171" s="895"/>
      <c r="B171" s="1547"/>
      <c r="C171" s="1547"/>
      <c r="D171" s="276"/>
      <c r="K171" s="1060"/>
      <c r="L171" s="1547"/>
      <c r="M171" s="1547"/>
      <c r="N171" s="1060"/>
      <c r="O171" s="1060"/>
      <c r="P171" s="1060"/>
      <c r="Q171" s="1060"/>
      <c r="R171" s="1547"/>
      <c r="S171" s="1060"/>
      <c r="T171" s="1060"/>
      <c r="U171" s="469"/>
      <c r="V171" s="1060"/>
      <c r="W171" s="1060"/>
      <c r="X171" s="1060"/>
      <c r="Y171" s="1060"/>
      <c r="Z171" s="1060"/>
      <c r="AA171" s="1543"/>
      <c r="AB171" s="491"/>
      <c r="AC171" s="491"/>
      <c r="AD171" s="491"/>
      <c r="AE171" s="491"/>
    </row>
    <row r="172" spans="1:31" s="6503" customFormat="1" ht="11.25" customHeight="1">
      <c r="A172" s="895"/>
      <c r="B172" s="1547"/>
      <c r="C172" s="1547"/>
      <c r="D172" s="276"/>
      <c r="K172" s="1060"/>
      <c r="L172" s="1547"/>
      <c r="M172" s="1547"/>
      <c r="N172" s="1060"/>
      <c r="O172" s="1060"/>
      <c r="P172" s="1060"/>
      <c r="Q172" s="1060"/>
      <c r="R172" s="1547"/>
      <c r="S172" s="1060"/>
      <c r="T172" s="1060"/>
      <c r="U172" s="469"/>
      <c r="V172" s="1060"/>
      <c r="W172" s="1060"/>
      <c r="X172" s="1060"/>
      <c r="Y172" s="1060"/>
      <c r="Z172" s="1060"/>
      <c r="AA172" s="1543"/>
      <c r="AB172" s="491"/>
      <c r="AC172" s="491"/>
      <c r="AD172" s="491"/>
      <c r="AE172" s="491"/>
    </row>
    <row r="173" spans="1:31" s="6503" customFormat="1" ht="11.25" customHeight="1">
      <c r="A173" s="895"/>
      <c r="B173" s="1547"/>
      <c r="C173" s="1547"/>
      <c r="D173" s="276"/>
      <c r="K173" s="1060"/>
      <c r="L173" s="1547"/>
      <c r="M173" s="1547"/>
      <c r="N173" s="1060"/>
      <c r="O173" s="1060"/>
      <c r="P173" s="1060"/>
      <c r="Q173" s="1060"/>
      <c r="R173" s="1547"/>
      <c r="S173" s="1060"/>
      <c r="T173" s="1060"/>
      <c r="U173" s="469"/>
      <c r="V173" s="1060"/>
      <c r="W173" s="1060"/>
      <c r="X173" s="1060"/>
      <c r="Y173" s="1060"/>
      <c r="Z173" s="1060"/>
      <c r="AA173" s="1543"/>
      <c r="AB173" s="491"/>
      <c r="AC173" s="491"/>
      <c r="AD173" s="491"/>
      <c r="AE173" s="491"/>
    </row>
    <row r="174" spans="1:31" s="6503" customFormat="1" ht="11.25" customHeight="1">
      <c r="A174" s="895"/>
      <c r="B174" s="1547"/>
      <c r="C174" s="1547"/>
      <c r="D174" s="276"/>
      <c r="K174" s="1060"/>
      <c r="L174" s="1547"/>
      <c r="M174" s="1547"/>
      <c r="N174" s="1060"/>
      <c r="O174" s="1060"/>
      <c r="P174" s="1060"/>
      <c r="Q174" s="1060"/>
      <c r="R174" s="1547"/>
      <c r="S174" s="1060"/>
      <c r="T174" s="1060"/>
      <c r="U174" s="469"/>
      <c r="V174" s="1060"/>
      <c r="W174" s="1060"/>
      <c r="X174" s="1060"/>
      <c r="Y174" s="1060"/>
      <c r="Z174" s="1060"/>
      <c r="AA174" s="1543"/>
      <c r="AB174" s="491"/>
      <c r="AC174" s="491"/>
      <c r="AD174" s="491"/>
      <c r="AE174" s="491"/>
    </row>
    <row r="175" spans="1:31" s="6503" customFormat="1" ht="11.25" customHeight="1">
      <c r="A175" s="895"/>
      <c r="B175" s="1547"/>
      <c r="C175" s="1547"/>
      <c r="D175" s="276"/>
      <c r="K175" s="1060"/>
      <c r="L175" s="1547"/>
      <c r="M175" s="1547"/>
      <c r="N175" s="1060"/>
      <c r="O175" s="1060"/>
      <c r="P175" s="1060"/>
      <c r="Q175" s="1060"/>
      <c r="R175" s="1547"/>
      <c r="S175" s="1060"/>
      <c r="T175" s="1060"/>
      <c r="U175" s="469"/>
      <c r="V175" s="1060"/>
      <c r="W175" s="1060"/>
      <c r="X175" s="1060"/>
      <c r="Y175" s="1060"/>
      <c r="Z175" s="1060"/>
      <c r="AA175" s="1543"/>
      <c r="AB175" s="491"/>
      <c r="AC175" s="491"/>
      <c r="AD175" s="491"/>
      <c r="AE175" s="491"/>
    </row>
    <row r="176" spans="1:31" s="6503" customFormat="1" ht="11.25" customHeight="1">
      <c r="A176" s="895"/>
      <c r="B176" s="1547"/>
      <c r="C176" s="1547"/>
      <c r="D176" s="276"/>
      <c r="K176" s="1060"/>
      <c r="L176" s="1547"/>
      <c r="M176" s="1547"/>
      <c r="N176" s="1060"/>
      <c r="O176" s="1060"/>
      <c r="P176" s="1060"/>
      <c r="Q176" s="1060"/>
      <c r="R176" s="1547"/>
      <c r="S176" s="1060"/>
      <c r="T176" s="1060"/>
      <c r="U176" s="469"/>
      <c r="V176" s="1060"/>
      <c r="W176" s="1060"/>
      <c r="X176" s="1060"/>
      <c r="Y176" s="1060"/>
      <c r="Z176" s="1060"/>
      <c r="AA176" s="1543"/>
      <c r="AB176" s="491"/>
      <c r="AC176" s="491"/>
      <c r="AD176" s="491"/>
      <c r="AE176" s="491"/>
    </row>
    <row r="177" spans="1:31" s="6503" customFormat="1" ht="11.25" customHeight="1">
      <c r="A177" s="895"/>
      <c r="B177" s="1547"/>
      <c r="C177" s="1547"/>
      <c r="D177" s="276"/>
      <c r="K177" s="1060"/>
      <c r="L177" s="1547"/>
      <c r="M177" s="1547"/>
      <c r="N177" s="1060"/>
      <c r="O177" s="1060"/>
      <c r="P177" s="1060"/>
      <c r="Q177" s="1060"/>
      <c r="R177" s="1547"/>
      <c r="S177" s="1060"/>
      <c r="T177" s="1060"/>
      <c r="U177" s="469"/>
      <c r="V177" s="1060"/>
      <c r="W177" s="1060"/>
      <c r="X177" s="1060"/>
      <c r="Y177" s="1060"/>
      <c r="Z177" s="1060"/>
      <c r="AA177" s="1543"/>
      <c r="AB177" s="491"/>
      <c r="AC177" s="491"/>
      <c r="AD177" s="491"/>
      <c r="AE177" s="491"/>
    </row>
    <row r="178" spans="1:31" s="6503" customFormat="1" ht="11.25" customHeight="1">
      <c r="A178" s="895"/>
      <c r="B178" s="1547"/>
      <c r="C178" s="1547"/>
      <c r="D178" s="276"/>
      <c r="K178" s="1060"/>
      <c r="L178" s="1547"/>
      <c r="M178" s="1547"/>
      <c r="N178" s="1060"/>
      <c r="O178" s="1060"/>
      <c r="P178" s="1060"/>
      <c r="Q178" s="1060"/>
      <c r="R178" s="1547"/>
      <c r="S178" s="1060"/>
      <c r="T178" s="1060"/>
      <c r="U178" s="469"/>
      <c r="V178" s="1060"/>
      <c r="W178" s="1060"/>
      <c r="X178" s="1060"/>
      <c r="Y178" s="1060"/>
      <c r="Z178" s="1060"/>
      <c r="AA178" s="1543"/>
      <c r="AB178" s="491"/>
      <c r="AC178" s="491"/>
      <c r="AD178" s="491"/>
      <c r="AE178" s="491"/>
    </row>
    <row r="179" spans="1:31" s="6503" customFormat="1" ht="11.25" customHeight="1">
      <c r="A179" s="895"/>
      <c r="B179" s="1547"/>
      <c r="C179" s="1547"/>
      <c r="D179" s="276"/>
      <c r="K179" s="1060"/>
      <c r="L179" s="1547"/>
      <c r="M179" s="1547"/>
      <c r="N179" s="1060"/>
      <c r="O179" s="1060"/>
      <c r="P179" s="1060"/>
      <c r="Q179" s="1060"/>
      <c r="R179" s="1547"/>
      <c r="S179" s="1060"/>
      <c r="T179" s="1060"/>
      <c r="U179" s="469"/>
      <c r="V179" s="1060"/>
      <c r="W179" s="1060"/>
      <c r="X179" s="1060"/>
      <c r="Y179" s="1060"/>
      <c r="Z179" s="1060"/>
      <c r="AA179" s="1543"/>
      <c r="AB179" s="491"/>
      <c r="AC179" s="491"/>
      <c r="AD179" s="491"/>
      <c r="AE179" s="491"/>
    </row>
    <row r="180" spans="1:31" s="6503" customFormat="1" ht="11.25" customHeight="1">
      <c r="A180" s="895"/>
      <c r="B180" s="1547"/>
      <c r="C180" s="1547"/>
      <c r="D180" s="276"/>
      <c r="K180" s="1060"/>
      <c r="L180" s="1547"/>
      <c r="M180" s="1547"/>
      <c r="N180" s="1060"/>
      <c r="O180" s="1060"/>
      <c r="P180" s="1060"/>
      <c r="Q180" s="1060"/>
      <c r="R180" s="1547"/>
      <c r="S180" s="1060"/>
      <c r="T180" s="1060"/>
      <c r="U180" s="469"/>
      <c r="V180" s="1060"/>
      <c r="W180" s="1060"/>
      <c r="X180" s="1060"/>
      <c r="Y180" s="1060"/>
      <c r="Z180" s="1060"/>
      <c r="AA180" s="1543"/>
      <c r="AB180" s="491"/>
      <c r="AC180" s="491"/>
      <c r="AD180" s="491"/>
      <c r="AE180" s="491"/>
    </row>
    <row r="181" spans="1:31" s="6503" customFormat="1" ht="11.25" customHeight="1">
      <c r="A181" s="895"/>
      <c r="B181" s="1547"/>
      <c r="C181" s="1547"/>
      <c r="D181" s="276"/>
      <c r="K181" s="1060"/>
      <c r="L181" s="1547"/>
      <c r="M181" s="1547"/>
      <c r="N181" s="1060"/>
      <c r="O181" s="1060"/>
      <c r="P181" s="1060"/>
      <c r="Q181" s="1060"/>
      <c r="R181" s="1547"/>
      <c r="S181" s="1060"/>
      <c r="T181" s="1060"/>
      <c r="U181" s="469"/>
      <c r="V181" s="1060"/>
      <c r="W181" s="1060"/>
      <c r="X181" s="1060"/>
      <c r="Y181" s="1060"/>
      <c r="Z181" s="1060"/>
      <c r="AA181" s="1543"/>
      <c r="AB181" s="491"/>
      <c r="AC181" s="491"/>
      <c r="AD181" s="491"/>
      <c r="AE181" s="491"/>
    </row>
    <row r="182" spans="1:31" s="6503" customFormat="1" ht="11.25" customHeight="1">
      <c r="A182" s="895"/>
      <c r="B182" s="1547"/>
      <c r="C182" s="1547"/>
      <c r="D182" s="276"/>
      <c r="K182" s="1060"/>
      <c r="L182" s="1547"/>
      <c r="M182" s="1547"/>
      <c r="N182" s="1060"/>
      <c r="O182" s="1060"/>
      <c r="P182" s="1060"/>
      <c r="Q182" s="1060"/>
      <c r="R182" s="1547"/>
      <c r="S182" s="1060"/>
      <c r="T182" s="1060"/>
      <c r="U182" s="469"/>
      <c r="V182" s="1060"/>
      <c r="W182" s="1060"/>
      <c r="X182" s="1060"/>
      <c r="Y182" s="1060"/>
      <c r="Z182" s="1060"/>
      <c r="AA182" s="1543"/>
      <c r="AB182" s="491"/>
      <c r="AC182" s="491"/>
      <c r="AD182" s="491"/>
      <c r="AE182" s="491"/>
    </row>
    <row r="183" spans="1:31" s="6503" customFormat="1" ht="11.25" customHeight="1">
      <c r="A183" s="895"/>
      <c r="B183" s="1547"/>
      <c r="C183" s="1547"/>
      <c r="D183" s="276"/>
      <c r="K183" s="1060"/>
      <c r="L183" s="1547"/>
      <c r="M183" s="1547"/>
      <c r="N183" s="1060"/>
      <c r="O183" s="1060"/>
      <c r="P183" s="1060"/>
      <c r="Q183" s="1060"/>
      <c r="R183" s="1547"/>
      <c r="S183" s="1060"/>
      <c r="T183" s="1060"/>
      <c r="U183" s="469"/>
      <c r="V183" s="1060"/>
      <c r="W183" s="1060"/>
      <c r="X183" s="1060"/>
      <c r="Y183" s="1060"/>
      <c r="Z183" s="1060"/>
      <c r="AA183" s="1543"/>
      <c r="AB183" s="491"/>
      <c r="AC183" s="491"/>
      <c r="AD183" s="491"/>
      <c r="AE183" s="491"/>
    </row>
    <row r="184" spans="1:31" s="6503" customFormat="1" ht="11.25" customHeight="1">
      <c r="A184" s="895"/>
      <c r="B184" s="1547"/>
      <c r="C184" s="1547"/>
      <c r="D184" s="276"/>
      <c r="K184" s="1060"/>
      <c r="L184" s="1547"/>
      <c r="M184" s="1547"/>
      <c r="N184" s="1060"/>
      <c r="O184" s="1060"/>
      <c r="P184" s="1060"/>
      <c r="Q184" s="1060"/>
      <c r="R184" s="1547"/>
      <c r="S184" s="1060"/>
      <c r="T184" s="1060"/>
      <c r="U184" s="469"/>
      <c r="V184" s="1060"/>
      <c r="W184" s="1060"/>
      <c r="X184" s="1060"/>
      <c r="Y184" s="1060"/>
      <c r="Z184" s="1060"/>
      <c r="AA184" s="1543"/>
      <c r="AB184" s="491"/>
      <c r="AC184" s="491"/>
      <c r="AD184" s="491"/>
      <c r="AE184" s="491"/>
    </row>
    <row r="185" spans="1:31" s="6503" customFormat="1" ht="11.25" customHeight="1">
      <c r="A185" s="895"/>
      <c r="B185" s="1547"/>
      <c r="C185" s="1547"/>
      <c r="D185" s="276"/>
      <c r="K185" s="1060"/>
      <c r="L185" s="1547"/>
      <c r="M185" s="1547"/>
      <c r="N185" s="1060"/>
      <c r="O185" s="1060"/>
      <c r="P185" s="1060"/>
      <c r="Q185" s="1060"/>
      <c r="R185" s="1547"/>
      <c r="S185" s="1060"/>
      <c r="T185" s="1060"/>
      <c r="U185" s="469"/>
      <c r="V185" s="1060"/>
      <c r="W185" s="1060"/>
      <c r="X185" s="1060"/>
      <c r="Y185" s="1060"/>
      <c r="Z185" s="1060"/>
      <c r="AA185" s="1543"/>
      <c r="AB185" s="491"/>
      <c r="AC185" s="491"/>
      <c r="AD185" s="491"/>
      <c r="AE185" s="491"/>
    </row>
    <row r="186" spans="1:31" s="6503" customFormat="1" ht="11.25" customHeight="1">
      <c r="A186" s="895"/>
      <c r="B186" s="1547"/>
      <c r="C186" s="1547"/>
      <c r="D186" s="276"/>
      <c r="K186" s="1060"/>
      <c r="L186" s="1547"/>
      <c r="M186" s="1547"/>
      <c r="N186" s="1060"/>
      <c r="O186" s="1060"/>
      <c r="P186" s="1060"/>
      <c r="Q186" s="1060"/>
      <c r="R186" s="1547"/>
      <c r="S186" s="1060"/>
      <c r="T186" s="1060"/>
      <c r="U186" s="469"/>
      <c r="V186" s="1060"/>
      <c r="W186" s="1060"/>
      <c r="X186" s="1060"/>
      <c r="Y186" s="1060"/>
      <c r="Z186" s="1060"/>
      <c r="AA186" s="1543"/>
      <c r="AB186" s="491"/>
      <c r="AC186" s="491"/>
      <c r="AD186" s="491"/>
      <c r="AE186" s="491"/>
    </row>
    <row r="187" spans="1:31" s="6503" customFormat="1" ht="11.25" customHeight="1">
      <c r="A187" s="895"/>
      <c r="B187" s="1547"/>
      <c r="C187" s="1547"/>
      <c r="D187" s="276"/>
      <c r="K187" s="1060"/>
      <c r="L187" s="1547"/>
      <c r="M187" s="1547"/>
      <c r="N187" s="1060"/>
      <c r="O187" s="1060"/>
      <c r="P187" s="1060"/>
      <c r="Q187" s="1060"/>
      <c r="R187" s="1547"/>
      <c r="S187" s="1060"/>
      <c r="T187" s="1060"/>
      <c r="U187" s="469"/>
      <c r="V187" s="1060"/>
      <c r="W187" s="1060"/>
      <c r="X187" s="1060"/>
      <c r="Y187" s="1060"/>
      <c r="Z187" s="1060"/>
      <c r="AA187" s="1543"/>
      <c r="AB187" s="491"/>
      <c r="AC187" s="491"/>
      <c r="AD187" s="491"/>
      <c r="AE187" s="491"/>
    </row>
    <row r="188" spans="1:31" s="6503" customFormat="1" ht="11.25" customHeight="1">
      <c r="A188" s="895"/>
      <c r="B188" s="1547"/>
      <c r="C188" s="1547"/>
      <c r="D188" s="276"/>
      <c r="K188" s="1060"/>
      <c r="L188" s="1547"/>
      <c r="M188" s="1547"/>
      <c r="N188" s="1060"/>
      <c r="O188" s="1060"/>
      <c r="P188" s="1060"/>
      <c r="Q188" s="1060"/>
      <c r="R188" s="1547"/>
      <c r="S188" s="1060"/>
      <c r="T188" s="1060"/>
      <c r="U188" s="469"/>
      <c r="V188" s="1060"/>
      <c r="W188" s="1060"/>
      <c r="X188" s="1060"/>
      <c r="Y188" s="1060"/>
      <c r="Z188" s="1060"/>
      <c r="AA188" s="1543"/>
      <c r="AB188" s="491"/>
      <c r="AC188" s="491"/>
      <c r="AD188" s="491"/>
      <c r="AE188" s="491"/>
    </row>
    <row r="189" spans="1:31" s="6503" customFormat="1" ht="11.25" customHeight="1">
      <c r="A189" s="895"/>
      <c r="B189" s="1547"/>
      <c r="C189" s="1547"/>
      <c r="D189" s="276"/>
      <c r="K189" s="1060"/>
      <c r="L189" s="1547"/>
      <c r="M189" s="1547"/>
      <c r="N189" s="1060"/>
      <c r="O189" s="1060"/>
      <c r="P189" s="1060"/>
      <c r="Q189" s="1060"/>
      <c r="R189" s="1547"/>
      <c r="S189" s="1060"/>
      <c r="T189" s="1060"/>
      <c r="U189" s="469"/>
      <c r="V189" s="1060"/>
      <c r="W189" s="1060"/>
      <c r="X189" s="1060"/>
      <c r="Y189" s="1060"/>
      <c r="Z189" s="1060"/>
      <c r="AA189" s="1543"/>
      <c r="AB189" s="491"/>
      <c r="AC189" s="491"/>
      <c r="AD189" s="491"/>
      <c r="AE189" s="491"/>
    </row>
    <row r="190" spans="1:31" s="6503" customFormat="1" ht="11.25" customHeight="1">
      <c r="A190" s="895"/>
      <c r="B190" s="1547"/>
      <c r="C190" s="1547"/>
      <c r="D190" s="276"/>
      <c r="K190" s="1060"/>
      <c r="L190" s="1547"/>
      <c r="M190" s="1547"/>
      <c r="N190" s="1060"/>
      <c r="O190" s="1060"/>
      <c r="P190" s="1060"/>
      <c r="Q190" s="1060"/>
      <c r="R190" s="1547"/>
      <c r="S190" s="1060"/>
      <c r="T190" s="1060"/>
      <c r="U190" s="469"/>
      <c r="V190" s="1060"/>
      <c r="W190" s="1060"/>
      <c r="X190" s="1060"/>
      <c r="Y190" s="1060"/>
      <c r="Z190" s="1060"/>
      <c r="AA190" s="1543"/>
      <c r="AB190" s="491"/>
      <c r="AC190" s="491"/>
      <c r="AD190" s="491"/>
      <c r="AE190" s="491"/>
    </row>
    <row r="191" spans="1:31" s="6503" customFormat="1" ht="11.25" customHeight="1">
      <c r="A191" s="895"/>
      <c r="B191" s="1547"/>
      <c r="C191" s="1547"/>
      <c r="D191" s="276"/>
      <c r="K191" s="1060"/>
      <c r="L191" s="1547"/>
      <c r="M191" s="1547"/>
      <c r="N191" s="1060"/>
      <c r="O191" s="1060"/>
      <c r="P191" s="1060"/>
      <c r="Q191" s="1060"/>
      <c r="R191" s="1547"/>
      <c r="S191" s="1060"/>
      <c r="T191" s="1060"/>
      <c r="U191" s="469"/>
      <c r="V191" s="1060"/>
      <c r="W191" s="1060"/>
      <c r="X191" s="1060"/>
      <c r="Y191" s="1060"/>
      <c r="Z191" s="1060"/>
      <c r="AA191" s="1543"/>
      <c r="AB191" s="491"/>
      <c r="AC191" s="491"/>
      <c r="AD191" s="491"/>
      <c r="AE191" s="491"/>
    </row>
    <row r="192" spans="1:31" s="6503" customFormat="1" ht="11.25" customHeight="1">
      <c r="A192" s="895"/>
      <c r="B192" s="1547"/>
      <c r="C192" s="1547"/>
      <c r="D192" s="276"/>
      <c r="K192" s="1060"/>
      <c r="L192" s="1547"/>
      <c r="M192" s="1547"/>
      <c r="N192" s="1060"/>
      <c r="O192" s="1060"/>
      <c r="P192" s="1060"/>
      <c r="Q192" s="1060"/>
      <c r="R192" s="1547"/>
      <c r="S192" s="1060"/>
      <c r="T192" s="1060"/>
      <c r="U192" s="469"/>
      <c r="V192" s="1060"/>
      <c r="W192" s="1060"/>
      <c r="X192" s="1060"/>
      <c r="Y192" s="1060"/>
      <c r="Z192" s="1060"/>
      <c r="AA192" s="1543"/>
      <c r="AB192" s="491"/>
      <c r="AC192" s="491"/>
      <c r="AD192" s="491"/>
      <c r="AE192" s="491"/>
    </row>
    <row r="193" spans="1:31" s="6503" customFormat="1" ht="11.25" customHeight="1">
      <c r="A193" s="895"/>
      <c r="B193" s="1547"/>
      <c r="C193" s="1547"/>
      <c r="D193" s="276"/>
      <c r="K193" s="1060"/>
      <c r="L193" s="1547"/>
      <c r="M193" s="1547"/>
      <c r="N193" s="1060"/>
      <c r="O193" s="1060"/>
      <c r="P193" s="1060"/>
      <c r="Q193" s="1060"/>
      <c r="R193" s="1547"/>
      <c r="S193" s="1060"/>
      <c r="T193" s="1060"/>
      <c r="U193" s="469"/>
      <c r="V193" s="1060"/>
      <c r="W193" s="1060"/>
      <c r="X193" s="1060"/>
      <c r="Y193" s="1060"/>
      <c r="Z193" s="1060"/>
      <c r="AA193" s="1543"/>
      <c r="AB193" s="491"/>
      <c r="AC193" s="491"/>
      <c r="AD193" s="491"/>
      <c r="AE193" s="491"/>
    </row>
    <row r="194" spans="1:31" s="6503" customFormat="1" ht="11.25" customHeight="1">
      <c r="A194" s="895"/>
      <c r="B194" s="1547"/>
      <c r="C194" s="1547"/>
      <c r="D194" s="276"/>
      <c r="K194" s="1060"/>
      <c r="L194" s="1547"/>
      <c r="M194" s="1547"/>
      <c r="N194" s="1060"/>
      <c r="O194" s="1060"/>
      <c r="P194" s="1060"/>
      <c r="Q194" s="1060"/>
      <c r="R194" s="1547"/>
      <c r="S194" s="1060"/>
      <c r="T194" s="1060"/>
      <c r="U194" s="469"/>
      <c r="V194" s="1060"/>
      <c r="W194" s="1060"/>
      <c r="X194" s="1060"/>
      <c r="Y194" s="1060"/>
      <c r="Z194" s="1060"/>
      <c r="AA194" s="1543"/>
      <c r="AB194" s="491"/>
      <c r="AC194" s="491"/>
      <c r="AD194" s="491"/>
      <c r="AE194" s="491"/>
    </row>
    <row r="195" spans="1:31" s="6503" customFormat="1" ht="11.25" customHeight="1">
      <c r="A195" s="895"/>
      <c r="B195" s="1547"/>
      <c r="C195" s="1547"/>
      <c r="D195" s="276"/>
      <c r="K195" s="1060"/>
      <c r="L195" s="1547"/>
      <c r="M195" s="1547"/>
      <c r="N195" s="1060"/>
      <c r="O195" s="1060"/>
      <c r="P195" s="1060"/>
      <c r="Q195" s="1060"/>
      <c r="R195" s="1547"/>
      <c r="S195" s="1060"/>
      <c r="T195" s="1060"/>
      <c r="U195" s="469"/>
      <c r="V195" s="1060"/>
      <c r="W195" s="1060"/>
      <c r="X195" s="1060"/>
      <c r="Y195" s="1060"/>
      <c r="Z195" s="1060"/>
      <c r="AA195" s="1543"/>
      <c r="AB195" s="491"/>
      <c r="AC195" s="491"/>
      <c r="AD195" s="491"/>
      <c r="AE195" s="491"/>
    </row>
    <row r="196" spans="1:31" s="6503" customFormat="1" ht="11.25" customHeight="1">
      <c r="A196" s="895"/>
      <c r="B196" s="1547"/>
      <c r="C196" s="1547"/>
      <c r="D196" s="276"/>
      <c r="K196" s="1060"/>
      <c r="L196" s="1547"/>
      <c r="M196" s="1547"/>
      <c r="N196" s="1060"/>
      <c r="O196" s="1060"/>
      <c r="P196" s="1060"/>
      <c r="Q196" s="1060"/>
      <c r="R196" s="1547"/>
      <c r="S196" s="1060"/>
      <c r="T196" s="1060"/>
      <c r="U196" s="469"/>
      <c r="V196" s="1060"/>
      <c r="W196" s="1060"/>
      <c r="X196" s="1060"/>
      <c r="Y196" s="1060"/>
      <c r="Z196" s="1060"/>
      <c r="AA196" s="1543"/>
      <c r="AB196" s="491"/>
      <c r="AC196" s="491"/>
      <c r="AD196" s="491"/>
      <c r="AE196" s="491"/>
    </row>
    <row r="197" spans="1:31" s="6503" customFormat="1" ht="11.25" customHeight="1">
      <c r="A197" s="895"/>
      <c r="B197" s="1547"/>
      <c r="C197" s="1547"/>
      <c r="D197" s="276"/>
      <c r="K197" s="1060"/>
      <c r="L197" s="1547"/>
      <c r="M197" s="1547"/>
      <c r="N197" s="1060"/>
      <c r="O197" s="1060"/>
      <c r="P197" s="1060"/>
      <c r="Q197" s="1060"/>
      <c r="R197" s="1547"/>
      <c r="S197" s="1060"/>
      <c r="T197" s="1060"/>
      <c r="U197" s="469"/>
      <c r="V197" s="1060"/>
      <c r="W197" s="1060"/>
      <c r="X197" s="1060"/>
      <c r="Y197" s="1060"/>
      <c r="Z197" s="1060"/>
      <c r="AA197" s="1543"/>
      <c r="AB197" s="491"/>
      <c r="AC197" s="491"/>
      <c r="AD197" s="491"/>
      <c r="AE197" s="491"/>
    </row>
    <row r="198" spans="1:31" s="6503" customFormat="1" ht="11.25" customHeight="1">
      <c r="A198" s="895"/>
      <c r="B198" s="1547"/>
      <c r="C198" s="1547"/>
      <c r="D198" s="276"/>
      <c r="K198" s="1060"/>
      <c r="L198" s="1547"/>
      <c r="M198" s="1547"/>
      <c r="N198" s="1060"/>
      <c r="O198" s="1060"/>
      <c r="P198" s="1060"/>
      <c r="Q198" s="1060"/>
      <c r="R198" s="1547"/>
      <c r="S198" s="1060"/>
      <c r="T198" s="1060"/>
      <c r="U198" s="469"/>
      <c r="V198" s="1060"/>
      <c r="W198" s="1060"/>
      <c r="X198" s="1060"/>
      <c r="Y198" s="1060"/>
      <c r="Z198" s="1060"/>
      <c r="AA198" s="1543"/>
      <c r="AB198" s="491"/>
      <c r="AC198" s="491"/>
      <c r="AD198" s="491"/>
      <c r="AE198" s="491"/>
    </row>
    <row r="199" spans="1:31" s="6503" customFormat="1" ht="11.25" customHeight="1">
      <c r="A199" s="895"/>
      <c r="B199" s="1547"/>
      <c r="C199" s="1547"/>
      <c r="D199" s="276"/>
      <c r="K199" s="1060"/>
      <c r="L199" s="1547"/>
      <c r="M199" s="1547"/>
      <c r="N199" s="1060"/>
      <c r="O199" s="1060"/>
      <c r="P199" s="1060"/>
      <c r="Q199" s="1060"/>
      <c r="R199" s="1547"/>
      <c r="S199" s="1060"/>
      <c r="T199" s="1060"/>
      <c r="U199" s="469"/>
      <c r="V199" s="1060"/>
      <c r="W199" s="1060"/>
      <c r="X199" s="1060"/>
      <c r="Y199" s="1060"/>
      <c r="Z199" s="1060"/>
      <c r="AA199" s="1543"/>
      <c r="AB199" s="491"/>
      <c r="AC199" s="491"/>
      <c r="AD199" s="491"/>
      <c r="AE199" s="491"/>
    </row>
    <row r="200" spans="1:31" s="6503" customFormat="1" ht="11.25" customHeight="1">
      <c r="A200" s="895"/>
      <c r="B200" s="1547"/>
      <c r="C200" s="1547"/>
      <c r="D200" s="276"/>
      <c r="K200" s="1060"/>
      <c r="L200" s="1547"/>
      <c r="M200" s="1547"/>
      <c r="N200" s="1060"/>
      <c r="O200" s="1060"/>
      <c r="P200" s="1060"/>
      <c r="Q200" s="1060"/>
      <c r="R200" s="1547"/>
      <c r="S200" s="1060"/>
      <c r="T200" s="1060"/>
      <c r="U200" s="469"/>
      <c r="V200" s="1060"/>
      <c r="W200" s="1060"/>
      <c r="X200" s="1060"/>
      <c r="Y200" s="1060"/>
      <c r="Z200" s="1060"/>
      <c r="AA200" s="1543"/>
      <c r="AB200" s="491"/>
      <c r="AC200" s="491"/>
      <c r="AD200" s="491"/>
      <c r="AE200" s="491"/>
    </row>
    <row r="201" spans="1:31" s="6503" customFormat="1" ht="11.25" customHeight="1">
      <c r="A201" s="895"/>
      <c r="B201" s="1547"/>
      <c r="C201" s="1547"/>
      <c r="D201" s="276"/>
      <c r="K201" s="1060"/>
      <c r="L201" s="1547"/>
      <c r="M201" s="1547"/>
      <c r="N201" s="1060"/>
      <c r="O201" s="1060"/>
      <c r="P201" s="1060"/>
      <c r="Q201" s="1060"/>
      <c r="R201" s="1547"/>
      <c r="S201" s="1060"/>
      <c r="T201" s="1060"/>
      <c r="U201" s="469"/>
      <c r="V201" s="1060"/>
      <c r="W201" s="1060"/>
      <c r="X201" s="1060"/>
      <c r="Y201" s="1060"/>
      <c r="Z201" s="1060"/>
      <c r="AA201" s="1543"/>
      <c r="AB201" s="491"/>
      <c r="AC201" s="491"/>
      <c r="AD201" s="491"/>
      <c r="AE201" s="491"/>
    </row>
    <row r="202" spans="1:31" s="6503" customFormat="1" ht="11.25" customHeight="1">
      <c r="A202" s="895"/>
      <c r="B202" s="1547"/>
      <c r="C202" s="1547"/>
      <c r="D202" s="276"/>
      <c r="K202" s="1060"/>
      <c r="L202" s="1547"/>
      <c r="M202" s="1547"/>
      <c r="N202" s="1060"/>
      <c r="O202" s="1060"/>
      <c r="P202" s="1060"/>
      <c r="Q202" s="1060"/>
      <c r="R202" s="1547"/>
      <c r="S202" s="1060"/>
      <c r="T202" s="1060"/>
      <c r="U202" s="469"/>
      <c r="V202" s="1060"/>
      <c r="W202" s="1060"/>
      <c r="X202" s="1060"/>
      <c r="Y202" s="1060"/>
      <c r="Z202" s="1060"/>
      <c r="AA202" s="1543"/>
      <c r="AB202" s="491"/>
      <c r="AC202" s="491"/>
      <c r="AD202" s="491"/>
      <c r="AE202" s="491"/>
    </row>
    <row r="203" spans="1:31" s="6503" customFormat="1" ht="11.25" customHeight="1">
      <c r="A203" s="895"/>
      <c r="B203" s="1547"/>
      <c r="C203" s="1547"/>
      <c r="D203" s="276"/>
      <c r="K203" s="1060"/>
      <c r="L203" s="1547"/>
      <c r="M203" s="1547"/>
      <c r="N203" s="1060"/>
      <c r="O203" s="1060"/>
      <c r="P203" s="1060"/>
      <c r="Q203" s="1060"/>
      <c r="R203" s="1547"/>
      <c r="S203" s="1060"/>
      <c r="T203" s="1060"/>
      <c r="U203" s="469"/>
      <c r="V203" s="1060"/>
      <c r="W203" s="1060"/>
      <c r="X203" s="1060"/>
      <c r="Y203" s="1060"/>
      <c r="Z203" s="1060"/>
      <c r="AA203" s="1543"/>
      <c r="AB203" s="491"/>
      <c r="AC203" s="491"/>
      <c r="AD203" s="491"/>
      <c r="AE203" s="491"/>
    </row>
    <row r="204" spans="1:31" s="6503" customFormat="1" ht="11.25" customHeight="1">
      <c r="A204" s="895"/>
      <c r="B204" s="1547"/>
      <c r="C204" s="1547"/>
      <c r="D204" s="276"/>
      <c r="K204" s="1060"/>
      <c r="L204" s="1547"/>
      <c r="M204" s="1547"/>
      <c r="N204" s="1060"/>
      <c r="O204" s="1060"/>
      <c r="P204" s="1060"/>
      <c r="Q204" s="1060"/>
      <c r="R204" s="1547"/>
      <c r="S204" s="1060"/>
      <c r="T204" s="1060"/>
      <c r="U204" s="469"/>
      <c r="V204" s="1060"/>
      <c r="W204" s="1060"/>
      <c r="X204" s="1060"/>
      <c r="Y204" s="1060"/>
      <c r="Z204" s="1060"/>
      <c r="AA204" s="1543"/>
      <c r="AB204" s="491"/>
      <c r="AC204" s="491"/>
      <c r="AD204" s="491"/>
      <c r="AE204" s="491"/>
    </row>
    <row r="208" spans="1:31" ht="11.25" customHeight="1">
      <c r="A208" s="898"/>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8"/>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row r="210" spans="1:31" ht="11.25" customHeight="1">
      <c r="A210" s="898"/>
      <c r="B210" s="1542"/>
      <c r="D210" s="1542"/>
      <c r="K210" s="1542"/>
      <c r="N210" s="1542"/>
      <c r="O210" s="1542"/>
      <c r="P210" s="1542"/>
      <c r="Q210" s="1542"/>
      <c r="S210" s="1542"/>
      <c r="T210" s="1542"/>
      <c r="U210" s="1542"/>
      <c r="V210" s="1542"/>
      <c r="W210" s="1542"/>
      <c r="X210" s="1542"/>
      <c r="Y210" s="1542"/>
      <c r="Z210" s="1542"/>
      <c r="AA210" s="1542"/>
      <c r="AB210" s="1542"/>
      <c r="AC210" s="1542"/>
      <c r="AD210" s="1542"/>
      <c r="AE210" s="1542"/>
    </row>
    <row r="211" spans="1:31" ht="11.25" customHeight="1">
      <c r="A211" s="898"/>
      <c r="B211" s="1542"/>
      <c r="D211" s="1542"/>
      <c r="K211" s="1542"/>
      <c r="N211" s="1542"/>
      <c r="O211" s="1542"/>
      <c r="P211" s="1542"/>
      <c r="Q211" s="1542"/>
      <c r="S211" s="1542"/>
      <c r="T211" s="1542"/>
      <c r="U211" s="1542"/>
      <c r="V211" s="1542"/>
      <c r="W211" s="1542"/>
      <c r="X211" s="1542"/>
      <c r="Y211" s="1542"/>
      <c r="Z211" s="1542"/>
      <c r="AA211" s="1542"/>
      <c r="AB211" s="1542"/>
      <c r="AC211" s="1542"/>
      <c r="AD211" s="1542"/>
      <c r="AE211" s="1542"/>
    </row>
    <row r="212" spans="1:31" ht="11.25" customHeight="1">
      <c r="A212" s="898"/>
      <c r="B212" s="1542"/>
      <c r="D212" s="1542"/>
      <c r="K212" s="1542"/>
      <c r="N212" s="1542"/>
      <c r="O212" s="1542"/>
      <c r="P212" s="1542"/>
      <c r="Q212" s="1542"/>
      <c r="S212" s="1542"/>
      <c r="T212" s="1542"/>
      <c r="U212" s="1542"/>
      <c r="V212" s="1542"/>
      <c r="W212" s="1542"/>
      <c r="X212" s="1542"/>
      <c r="Y212" s="1542"/>
      <c r="Z212" s="1542"/>
      <c r="AA212" s="1542"/>
      <c r="AB212" s="1542"/>
      <c r="AC212" s="1542"/>
      <c r="AD212" s="1542"/>
      <c r="AE212" s="1542"/>
    </row>
    <row r="213" spans="1:31" ht="11.25" customHeight="1">
      <c r="A213" s="898"/>
      <c r="B213" s="1542"/>
      <c r="D213" s="1542"/>
      <c r="K213" s="1542"/>
      <c r="N213" s="1542"/>
      <c r="O213" s="1542"/>
      <c r="P213" s="1542"/>
      <c r="Q213" s="1542"/>
      <c r="S213" s="1542"/>
      <c r="T213" s="1542"/>
      <c r="U213" s="1542"/>
      <c r="V213" s="1542"/>
      <c r="W213" s="1542"/>
      <c r="X213" s="1542"/>
      <c r="Y213" s="1542"/>
      <c r="Z213" s="1542"/>
      <c r="AA213" s="1542"/>
      <c r="AB213" s="1542"/>
      <c r="AC213" s="1542"/>
      <c r="AD213" s="1542"/>
      <c r="AE213" s="1542"/>
    </row>
    <row r="214" spans="1:31" ht="11.25" customHeight="1">
      <c r="A214" s="898"/>
      <c r="B214" s="1542"/>
      <c r="D214" s="1542"/>
      <c r="K214" s="1542"/>
      <c r="N214" s="1542"/>
      <c r="O214" s="1542"/>
      <c r="P214" s="1542"/>
      <c r="Q214" s="1542"/>
      <c r="S214" s="1542"/>
      <c r="T214" s="1542"/>
      <c r="U214" s="1542"/>
      <c r="V214" s="1542"/>
      <c r="W214" s="1542"/>
      <c r="X214" s="1542"/>
      <c r="Y214" s="1542"/>
      <c r="Z214" s="1542"/>
      <c r="AA214" s="1542"/>
      <c r="AB214" s="1542"/>
      <c r="AC214" s="1542"/>
      <c r="AD214" s="1542"/>
      <c r="AE214" s="1542"/>
    </row>
    <row r="215" spans="1:31" ht="11.25" customHeight="1">
      <c r="A215" s="898"/>
      <c r="B215" s="1542"/>
      <c r="D215" s="1542"/>
      <c r="K215" s="1542"/>
      <c r="N215" s="1542"/>
      <c r="O215" s="1542"/>
      <c r="P215" s="1542"/>
      <c r="Q215" s="1542"/>
      <c r="S215" s="1542"/>
      <c r="T215" s="1542"/>
      <c r="U215" s="1542"/>
      <c r="V215" s="1542"/>
      <c r="W215" s="1542"/>
      <c r="X215" s="1542"/>
      <c r="Y215" s="1542"/>
      <c r="Z215" s="1542"/>
      <c r="AA215" s="1542"/>
      <c r="AB215" s="1542"/>
      <c r="AC215" s="1542"/>
      <c r="AD215" s="1542"/>
      <c r="AE215" s="1542"/>
    </row>
    <row r="216" spans="1:31" ht="11.25" customHeight="1">
      <c r="A216" s="898"/>
      <c r="B216" s="1542"/>
      <c r="D216" s="1542"/>
      <c r="K216" s="1542"/>
      <c r="N216" s="1542"/>
      <c r="O216" s="1542"/>
      <c r="P216" s="1542"/>
      <c r="Q216" s="1542"/>
      <c r="S216" s="1542"/>
      <c r="T216" s="1542"/>
      <c r="U216" s="1542"/>
      <c r="V216" s="1542"/>
      <c r="W216" s="1542"/>
      <c r="X216" s="1542"/>
      <c r="Y216" s="1542"/>
      <c r="Z216" s="1542"/>
      <c r="AA216" s="1542"/>
      <c r="AB216" s="1542"/>
      <c r="AC216" s="1542"/>
      <c r="AD216" s="1542"/>
      <c r="AE216" s="1542"/>
    </row>
    <row r="217" spans="1:31" ht="11.25" customHeight="1">
      <c r="A217" s="898"/>
      <c r="B217" s="1542"/>
      <c r="D217" s="1542"/>
      <c r="K217" s="1542"/>
      <c r="N217" s="1542"/>
      <c r="O217" s="1542"/>
      <c r="P217" s="1542"/>
      <c r="Q217" s="1542"/>
      <c r="S217" s="1542"/>
      <c r="T217" s="1542"/>
      <c r="U217" s="1542"/>
      <c r="V217" s="1542"/>
      <c r="W217" s="1542"/>
      <c r="X217" s="1542"/>
      <c r="Y217" s="1542"/>
      <c r="Z217" s="1542"/>
      <c r="AA217" s="1542"/>
      <c r="AB217" s="1542"/>
      <c r="AC217" s="1542"/>
      <c r="AD217" s="1542"/>
      <c r="AE217" s="1542"/>
    </row>
    <row r="218" spans="1:31" ht="11.25" customHeight="1">
      <c r="A218" s="898"/>
      <c r="B218" s="1542"/>
      <c r="D218" s="1542"/>
      <c r="K218" s="1542"/>
      <c r="N218" s="1542"/>
      <c r="O218" s="1542"/>
      <c r="P218" s="1542"/>
      <c r="Q218" s="1542"/>
      <c r="S218" s="1542"/>
      <c r="T218" s="1542"/>
      <c r="U218" s="1542"/>
      <c r="V218" s="1542"/>
      <c r="W218" s="1542"/>
      <c r="X218" s="1542"/>
      <c r="Y218" s="1542"/>
      <c r="Z218" s="1542"/>
      <c r="AA218" s="1542"/>
      <c r="AB218" s="1542"/>
      <c r="AC218" s="1542"/>
      <c r="AD218" s="1542"/>
      <c r="AE218" s="154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6501" hidden="1" customWidth="1"/>
    <col min="2" max="2" width="16.85546875" style="1830" hidden="1" customWidth="1"/>
    <col min="3" max="3" width="5.5703125" style="1832" hidden="1" customWidth="1"/>
    <col min="4" max="4" width="3.7109375" style="6507" customWidth="1"/>
    <col min="5" max="5" width="7.7109375" style="2045" customWidth="1"/>
    <col min="6" max="6" width="54.5703125" style="2045" customWidth="1"/>
    <col min="7" max="7" width="10.42578125" style="2045" customWidth="1"/>
    <col min="8" max="8" width="40.7109375" style="2045" hidden="1" customWidth="1"/>
    <col min="9" max="9" width="40.7109375" style="2045" customWidth="1"/>
    <col min="10" max="10" width="102.85546875" style="2045" customWidth="1"/>
    <col min="11" max="11" width="9.7109375" style="1830" customWidth="1"/>
    <col min="12" max="12" width="5.28515625" style="1832" customWidth="1"/>
    <col min="13" max="13" width="3.7109375" style="1832" customWidth="1"/>
    <col min="14" max="17" width="3.7109375" style="1830" customWidth="1"/>
    <col min="18" max="18" width="10.5703125" style="1832" customWidth="1"/>
    <col min="19" max="19" width="34.7109375" style="1830" customWidth="1"/>
    <col min="20" max="20" width="9.42578125" style="1830" customWidth="1"/>
    <col min="21" max="21" width="9.140625" style="6502"/>
    <col min="22" max="26" width="9.140625" style="1830"/>
    <col min="27" max="31" width="9.140625" style="2044"/>
  </cols>
  <sheetData>
    <row r="1" spans="1:31" s="1830" customFormat="1" ht="11.25" hidden="1" customHeight="1">
      <c r="A1" s="895"/>
      <c r="C1" s="1547"/>
      <c r="D1" s="462"/>
      <c r="H1" s="1060">
        <v>4</v>
      </c>
      <c r="I1" s="1060">
        <v>4</v>
      </c>
      <c r="L1" s="1547"/>
      <c r="M1" s="1547"/>
      <c r="R1" s="1547"/>
    </row>
    <row r="2" spans="1:31" s="1830" customFormat="1" ht="22.5" hidden="1" customHeight="1">
      <c r="A2" s="895"/>
      <c r="C2" s="1547"/>
      <c r="D2" s="463"/>
      <c r="E2" s="1568"/>
      <c r="F2" s="465"/>
      <c r="G2" s="1567" t="s">
        <v>669</v>
      </c>
      <c r="H2" s="466"/>
      <c r="I2" s="466"/>
      <c r="J2" s="467" t="s">
        <v>672</v>
      </c>
      <c r="K2" s="468"/>
      <c r="L2" s="1547"/>
      <c r="M2" s="1547"/>
      <c r="R2" s="1547"/>
      <c r="U2" s="469"/>
      <c r="AA2" s="1543"/>
      <c r="AB2" s="1543"/>
      <c r="AC2" s="1543"/>
      <c r="AD2" s="1543"/>
      <c r="AE2" s="1543"/>
    </row>
    <row r="3" spans="1:31" ht="11.25" hidden="1" customHeight="1"/>
    <row r="4" spans="1:31" s="2044" customFormat="1" ht="11.25" hidden="1" customHeight="1">
      <c r="A4" s="895"/>
      <c r="B4" s="1060"/>
      <c r="C4" s="1547"/>
      <c r="D4" s="289"/>
      <c r="J4" s="1543">
        <v>4</v>
      </c>
      <c r="K4" s="1060"/>
      <c r="L4" s="1547"/>
      <c r="M4" s="1547"/>
      <c r="N4" s="1060"/>
      <c r="O4" s="1060"/>
      <c r="P4" s="1060"/>
      <c r="Q4" s="1060"/>
      <c r="R4" s="1547"/>
      <c r="S4" s="1060"/>
      <c r="T4" s="1060"/>
      <c r="U4" s="469"/>
      <c r="V4" s="1060"/>
      <c r="W4" s="1060"/>
      <c r="X4" s="1060"/>
      <c r="Y4" s="1060"/>
      <c r="Z4" s="1060"/>
    </row>
    <row r="6" spans="1:31" ht="32.25" customHeight="1">
      <c r="E6" s="6747" t="s">
        <v>806</v>
      </c>
      <c r="F6" s="6747"/>
      <c r="G6" s="6747"/>
      <c r="H6" s="6747"/>
      <c r="I6" s="6747"/>
      <c r="J6" s="481"/>
    </row>
    <row r="7" spans="1:31" ht="24" customHeight="1">
      <c r="E7" s="6694" t="str">
        <f>IF(org=0,"Не определено",org)</f>
        <v>ООО "Марикоммунэнерго"</v>
      </c>
      <c r="F7" s="6694"/>
      <c r="G7" s="6694"/>
      <c r="H7" s="6694"/>
      <c r="I7" s="6694"/>
    </row>
    <row r="8" spans="1:31" ht="11.25" customHeight="1">
      <c r="E8" s="1037"/>
      <c r="F8" s="1037"/>
      <c r="G8" s="1037"/>
      <c r="H8" s="1037"/>
      <c r="I8" s="1037"/>
    </row>
    <row r="9" spans="1:31" s="1832" customFormat="1" ht="0.75" customHeight="1">
      <c r="A9" s="1067"/>
      <c r="D9" s="1552"/>
      <c r="H9" s="802"/>
      <c r="I9" s="802" t="s">
        <v>183</v>
      </c>
    </row>
    <row r="10" spans="1:31" ht="11.25" customHeight="1">
      <c r="E10" s="630"/>
      <c r="F10" s="6838" t="s">
        <v>174</v>
      </c>
      <c r="G10" s="6839"/>
      <c r="H10" s="1569" t="str">
        <f>IF(H9="","",INDEX(DIFFERENTIATION_UNMERGE_VD,MATCH(H9,DIFFERENTIATION_ID_DIFF,0)))</f>
        <v/>
      </c>
      <c r="I10" s="1569">
        <f>IF(I9="","",INDEX(DIFFERENTIATION_UNMERGE_VD,MATCH(I9,DIFFERENTIATION_ID_DIFF,0)))</f>
        <v>0</v>
      </c>
      <c r="J10" s="6629"/>
    </row>
    <row r="11" spans="1:31" ht="11.25" customHeight="1">
      <c r="E11" s="630"/>
      <c r="F11" s="6838" t="s">
        <v>681</v>
      </c>
      <c r="G11" s="6839"/>
      <c r="H11" s="1569" t="str">
        <f>IF(H9="","",INDEX(DIFFERENTIATION_UNMERGE_AREA,MATCH(H9,DIFFERENTIATION_ID_DIFF,0)))</f>
        <v/>
      </c>
      <c r="I11" s="1569" t="str">
        <f>IF(I9="","",INDEX(DIFFERENTIATION_UNMERGE_AREA,MATCH(I9,DIFFERENTIATION_ID_DIFF,0)))</f>
        <v/>
      </c>
      <c r="J11" s="6629"/>
    </row>
    <row r="12" spans="1:31" ht="11.25" hidden="1" customHeight="1">
      <c r="E12" s="1572"/>
      <c r="F12" s="6854" t="s">
        <v>682</v>
      </c>
      <c r="G12" s="6855"/>
      <c r="H12" s="1573" t="str">
        <f>IF(H9="","",INDEX(DIFFERENTIATION_UNMERGE_SYSTEM,MATCH(H9,DIFFERENTIATION_ID_DIFF,0)))</f>
        <v/>
      </c>
      <c r="I12" s="1573" t="str">
        <f>IF(I9="","",INDEX(DIFFERENTIATION_UNMERGE_SYSTEM,MATCH(I9,DIFFERENTIATION_ID_DIFF,0)))</f>
        <v>без дифференциации</v>
      </c>
      <c r="J12" s="6629"/>
    </row>
    <row r="13" spans="1:31" ht="11.25" customHeight="1">
      <c r="E13" s="6840" t="s">
        <v>418</v>
      </c>
      <c r="F13" s="6841"/>
      <c r="G13" s="6841"/>
      <c r="H13" s="1566"/>
      <c r="I13" s="1566"/>
      <c r="J13" s="6629"/>
    </row>
    <row r="14" spans="1:31" ht="22.5" customHeight="1">
      <c r="E14" s="1567" t="s">
        <v>87</v>
      </c>
      <c r="F14" s="1570" t="s">
        <v>420</v>
      </c>
      <c r="G14" s="1570" t="s">
        <v>683</v>
      </c>
      <c r="H14" s="1570" t="s">
        <v>421</v>
      </c>
      <c r="I14" s="1570" t="s">
        <v>421</v>
      </c>
      <c r="J14" s="6629"/>
    </row>
    <row r="15" spans="1:31" ht="18.75" customHeight="1">
      <c r="D15" s="1549"/>
      <c r="E15" s="1541" t="s">
        <v>178</v>
      </c>
      <c r="F15" s="626" t="s">
        <v>807</v>
      </c>
      <c r="G15" s="1567" t="s">
        <v>669</v>
      </c>
      <c r="H15" s="482"/>
      <c r="I15" s="482"/>
      <c r="J15" s="208" t="s">
        <v>808</v>
      </c>
      <c r="K15" s="468" t="s">
        <v>736</v>
      </c>
    </row>
    <row r="16" spans="1:31" ht="22.5" customHeight="1">
      <c r="D16" s="1549"/>
      <c r="E16" s="1541" t="s">
        <v>98</v>
      </c>
      <c r="F16" s="1575" t="s">
        <v>809</v>
      </c>
      <c r="G16" s="1567" t="s">
        <v>669</v>
      </c>
      <c r="H16" s="483">
        <f>SUM(H17,H20:H27)</f>
        <v>0</v>
      </c>
      <c r="I16" s="483">
        <f>SUM(I17,I20:I27)</f>
        <v>0</v>
      </c>
      <c r="J16" s="208" t="s">
        <v>810</v>
      </c>
      <c r="K16" s="468" t="s">
        <v>736</v>
      </c>
    </row>
    <row r="17" spans="1:31" ht="33.75" customHeight="1">
      <c r="D17" s="1549"/>
      <c r="E17" s="1574" t="s">
        <v>739</v>
      </c>
      <c r="F17" s="1577" t="s">
        <v>811</v>
      </c>
      <c r="G17" s="1564" t="s">
        <v>669</v>
      </c>
      <c r="H17" s="482"/>
      <c r="I17" s="482"/>
      <c r="J17" s="208" t="s">
        <v>812</v>
      </c>
      <c r="K17" s="468"/>
    </row>
    <row r="18" spans="1:31" ht="18.75" customHeight="1">
      <c r="D18" s="1549"/>
      <c r="E18" s="1574" t="s">
        <v>742</v>
      </c>
      <c r="F18" s="1578" t="s">
        <v>813</v>
      </c>
      <c r="G18" s="1564" t="s">
        <v>669</v>
      </c>
      <c r="H18" s="482"/>
      <c r="I18" s="482"/>
      <c r="J18" s="208"/>
      <c r="K18" s="468"/>
    </row>
    <row r="19" spans="1:31" ht="22.5" customHeight="1">
      <c r="D19" s="1549"/>
      <c r="E19" s="1574" t="s">
        <v>745</v>
      </c>
      <c r="F19" s="1578" t="s">
        <v>814</v>
      </c>
      <c r="G19" s="1564" t="s">
        <v>669</v>
      </c>
      <c r="H19" s="482"/>
      <c r="I19" s="482"/>
      <c r="J19" s="208"/>
      <c r="K19" s="468"/>
    </row>
    <row r="20" spans="1:31" ht="33.75" customHeight="1">
      <c r="D20" s="1549"/>
      <c r="E20" s="1574" t="s">
        <v>425</v>
      </c>
      <c r="F20" s="1577" t="s">
        <v>815</v>
      </c>
      <c r="G20" s="1564" t="s">
        <v>669</v>
      </c>
      <c r="H20" s="482"/>
      <c r="I20" s="482"/>
      <c r="J20" s="208"/>
      <c r="K20" s="468"/>
    </row>
    <row r="21" spans="1:31" ht="33.75" customHeight="1">
      <c r="D21" s="1549"/>
      <c r="E21" s="1574" t="s">
        <v>428</v>
      </c>
      <c r="F21" s="1577" t="s">
        <v>816</v>
      </c>
      <c r="G21" s="1564" t="s">
        <v>669</v>
      </c>
      <c r="H21" s="482"/>
      <c r="I21" s="482"/>
      <c r="J21" s="208"/>
      <c r="K21" s="468"/>
    </row>
    <row r="22" spans="1:31" ht="56.25" customHeight="1">
      <c r="D22" s="1549"/>
      <c r="E22" s="1574" t="s">
        <v>759</v>
      </c>
      <c r="F22" s="1577" t="s">
        <v>817</v>
      </c>
      <c r="G22" s="1564" t="s">
        <v>669</v>
      </c>
      <c r="H22" s="482"/>
      <c r="I22" s="482"/>
      <c r="J22" s="208"/>
      <c r="K22" s="468"/>
    </row>
    <row r="23" spans="1:31" ht="33.75" customHeight="1">
      <c r="D23" s="1549"/>
      <c r="E23" s="1574" t="s">
        <v>766</v>
      </c>
      <c r="F23" s="1577" t="s">
        <v>818</v>
      </c>
      <c r="G23" s="1564" t="s">
        <v>669</v>
      </c>
      <c r="H23" s="482"/>
      <c r="I23" s="482"/>
      <c r="J23" s="208"/>
      <c r="K23" s="468"/>
    </row>
    <row r="24" spans="1:31" ht="33.75" customHeight="1">
      <c r="D24" s="1549"/>
      <c r="E24" s="1574" t="s">
        <v>768</v>
      </c>
      <c r="F24" s="1577" t="s">
        <v>819</v>
      </c>
      <c r="G24" s="1564" t="s">
        <v>669</v>
      </c>
      <c r="H24" s="482"/>
      <c r="I24" s="482"/>
      <c r="J24" s="208"/>
      <c r="K24" s="468"/>
    </row>
    <row r="25" spans="1:31" ht="22.5" customHeight="1">
      <c r="D25" s="1549"/>
      <c r="E25" s="1574" t="s">
        <v>770</v>
      </c>
      <c r="F25" s="1577" t="s">
        <v>820</v>
      </c>
      <c r="G25" s="1564" t="s">
        <v>669</v>
      </c>
      <c r="H25" s="482"/>
      <c r="I25" s="482"/>
      <c r="J25" s="208"/>
      <c r="K25" s="468"/>
    </row>
    <row r="26" spans="1:31" ht="67.5" customHeight="1">
      <c r="D26" s="1549"/>
      <c r="E26" s="1574" t="s">
        <v>772</v>
      </c>
      <c r="F26" s="1577" t="s">
        <v>821</v>
      </c>
      <c r="G26" s="1564" t="s">
        <v>669</v>
      </c>
      <c r="H26" s="482"/>
      <c r="I26" s="482"/>
      <c r="J26" s="208"/>
      <c r="K26" s="468"/>
    </row>
    <row r="27" spans="1:31" s="1830" customFormat="1" ht="22.5" customHeight="1">
      <c r="A27" s="895"/>
      <c r="C27" s="1547"/>
      <c r="D27" s="1549"/>
      <c r="E27" s="1540" t="s">
        <v>776</v>
      </c>
      <c r="F27" s="1539" t="s">
        <v>822</v>
      </c>
      <c r="G27" s="1565" t="s">
        <v>669</v>
      </c>
      <c r="H27" s="504">
        <f>SUM(H28:H29)</f>
        <v>0</v>
      </c>
      <c r="I27" s="504">
        <f>SUM(I28:I29)</f>
        <v>0</v>
      </c>
      <c r="J27" s="208" t="s">
        <v>774</v>
      </c>
      <c r="K27" s="468"/>
      <c r="L27" s="1547"/>
      <c r="M27" s="1547"/>
      <c r="R27" s="1547"/>
      <c r="U27" s="469"/>
      <c r="AA27" s="1543"/>
      <c r="AB27" s="1543"/>
      <c r="AC27" s="1543"/>
      <c r="AD27" s="1543"/>
      <c r="AE27" s="1543"/>
    </row>
    <row r="28" spans="1:31" s="1832" customFormat="1" ht="0.75" customHeight="1">
      <c r="A28" s="1067"/>
      <c r="D28" s="473"/>
      <c r="E28" s="719" t="str">
        <f>E27&amp;".0"</f>
        <v>2.9.0</v>
      </c>
      <c r="F28" s="899"/>
      <c r="G28" s="476"/>
      <c r="H28" s="900"/>
      <c r="I28" s="900"/>
      <c r="J28" s="901"/>
    </row>
    <row r="29" spans="1:31" s="1830" customFormat="1" ht="18.75" customHeight="1">
      <c r="A29" s="895"/>
      <c r="C29" s="1547"/>
      <c r="D29" s="1544"/>
      <c r="E29" s="495"/>
      <c r="F29" s="1576" t="s">
        <v>694</v>
      </c>
      <c r="G29" s="497"/>
      <c r="H29" s="498"/>
      <c r="I29" s="498"/>
      <c r="J29" s="220" t="s">
        <v>775</v>
      </c>
      <c r="K29" s="468"/>
      <c r="L29" s="1547"/>
      <c r="M29" s="1547"/>
      <c r="R29" s="1547"/>
      <c r="U29" s="469"/>
      <c r="AA29" s="1543"/>
      <c r="AB29" s="1543"/>
      <c r="AC29" s="1543"/>
      <c r="AD29" s="1543"/>
      <c r="AE29" s="1543"/>
    </row>
    <row r="30" spans="1:31" s="1830" customFormat="1" ht="22.5" customHeight="1">
      <c r="A30" s="895"/>
      <c r="C30" s="1547"/>
      <c r="D30" s="1549"/>
      <c r="E30" s="1574" t="s">
        <v>89</v>
      </c>
      <c r="F30" s="1571" t="s">
        <v>823</v>
      </c>
      <c r="G30" s="1564" t="s">
        <v>669</v>
      </c>
      <c r="H30" s="482"/>
      <c r="I30" s="482"/>
      <c r="J30" s="208"/>
      <c r="K30" s="468"/>
      <c r="L30" s="1547"/>
      <c r="M30" s="1547"/>
      <c r="R30" s="1547"/>
      <c r="U30" s="469"/>
      <c r="AA30" s="1543"/>
      <c r="AB30" s="1543"/>
      <c r="AC30" s="1543"/>
      <c r="AD30" s="1543"/>
      <c r="AE30" s="1543"/>
    </row>
    <row r="31" spans="1:31" s="1830" customFormat="1" ht="33.75" customHeight="1">
      <c r="A31" s="895"/>
      <c r="C31" s="1547"/>
      <c r="D31" s="500"/>
      <c r="E31" s="1574" t="s">
        <v>90</v>
      </c>
      <c r="F31" s="1571" t="s">
        <v>824</v>
      </c>
      <c r="G31" s="1564" t="s">
        <v>669</v>
      </c>
      <c r="H31" s="482"/>
      <c r="I31" s="482"/>
      <c r="J31" s="208" t="s">
        <v>825</v>
      </c>
      <c r="K31" s="468"/>
      <c r="L31" s="1547"/>
      <c r="M31" s="1547"/>
      <c r="R31" s="1547"/>
      <c r="U31" s="469"/>
      <c r="AA31" s="1543"/>
      <c r="AB31" s="1543"/>
      <c r="AC31" s="1543"/>
      <c r="AD31" s="1543"/>
      <c r="AE31" s="1543"/>
    </row>
    <row r="32" spans="1:31" s="1830" customFormat="1" ht="22.5" customHeight="1">
      <c r="A32" s="895"/>
      <c r="C32" s="1547"/>
      <c r="D32" s="1549"/>
      <c r="E32" s="1574" t="s">
        <v>784</v>
      </c>
      <c r="F32" s="610" t="s">
        <v>788</v>
      </c>
      <c r="G32" s="1564" t="s">
        <v>669</v>
      </c>
      <c r="H32" s="482"/>
      <c r="I32" s="482"/>
      <c r="J32" s="208" t="s">
        <v>826</v>
      </c>
      <c r="K32" s="468"/>
      <c r="L32" s="1547"/>
      <c r="M32" s="1547"/>
      <c r="R32" s="1547"/>
      <c r="U32" s="469"/>
      <c r="AA32" s="1543"/>
      <c r="AB32" s="1543"/>
      <c r="AC32" s="1543"/>
      <c r="AD32" s="1543"/>
      <c r="AE32" s="1543"/>
    </row>
    <row r="33" spans="1:31" s="1830" customFormat="1" ht="22.5" customHeight="1">
      <c r="A33" s="895"/>
      <c r="C33" s="1547"/>
      <c r="D33" s="1549"/>
      <c r="E33" s="1574" t="s">
        <v>827</v>
      </c>
      <c r="F33" s="610" t="s">
        <v>828</v>
      </c>
      <c r="G33" s="1564" t="s">
        <v>669</v>
      </c>
      <c r="H33" s="482"/>
      <c r="I33" s="482"/>
      <c r="J33" s="208" t="s">
        <v>829</v>
      </c>
      <c r="K33" s="468"/>
      <c r="L33" s="1547"/>
      <c r="M33" s="1547"/>
      <c r="R33" s="1547"/>
      <c r="U33" s="469"/>
      <c r="AA33" s="1543"/>
      <c r="AB33" s="1543"/>
      <c r="AC33" s="1543"/>
      <c r="AD33" s="1543"/>
      <c r="AE33" s="1543"/>
    </row>
    <row r="34" spans="1:31" s="1830" customFormat="1" ht="22.5" customHeight="1">
      <c r="A34" s="895"/>
      <c r="C34" s="1547"/>
      <c r="D34" s="1549"/>
      <c r="E34" s="1574" t="s">
        <v>830</v>
      </c>
      <c r="F34" s="610" t="s">
        <v>794</v>
      </c>
      <c r="G34" s="1564" t="s">
        <v>669</v>
      </c>
      <c r="H34" s="482"/>
      <c r="I34" s="482"/>
      <c r="J34" s="208" t="s">
        <v>831</v>
      </c>
      <c r="K34" s="468"/>
      <c r="L34" s="1547"/>
      <c r="M34" s="1547"/>
      <c r="R34" s="1547"/>
      <c r="U34" s="469"/>
      <c r="AA34" s="1543"/>
      <c r="AB34" s="1543"/>
      <c r="AC34" s="1543"/>
      <c r="AD34" s="1543"/>
      <c r="AE34" s="1543"/>
    </row>
    <row r="35" spans="1:31" s="1830" customFormat="1" ht="33.75" customHeight="1">
      <c r="A35" s="895"/>
      <c r="C35" s="1547" t="s">
        <v>705</v>
      </c>
      <c r="D35" s="1549"/>
      <c r="E35" s="1574" t="s">
        <v>115</v>
      </c>
      <c r="F35" s="1571" t="s">
        <v>796</v>
      </c>
      <c r="G35" s="1567" t="s">
        <v>424</v>
      </c>
      <c r="H35" s="335"/>
      <c r="I35" s="335"/>
      <c r="J35" s="208" t="s">
        <v>832</v>
      </c>
      <c r="K35" s="468"/>
      <c r="L35" s="1547"/>
      <c r="M35" s="1547"/>
      <c r="R35" s="1547"/>
      <c r="U35" s="469"/>
      <c r="AA35" s="1543"/>
      <c r="AB35" s="1543"/>
      <c r="AC35" s="1543"/>
      <c r="AD35" s="1543"/>
      <c r="AE35" s="1543"/>
    </row>
    <row r="36" spans="1:31" s="1830" customFormat="1" ht="22.5" customHeight="1">
      <c r="A36" s="895"/>
      <c r="C36" s="1547"/>
      <c r="D36" s="1549"/>
      <c r="E36" s="1574" t="s">
        <v>91</v>
      </c>
      <c r="F36" s="1571" t="s">
        <v>833</v>
      </c>
      <c r="G36" s="1564" t="s">
        <v>800</v>
      </c>
      <c r="H36" s="470"/>
      <c r="I36" s="470"/>
      <c r="J36" s="208" t="s">
        <v>801</v>
      </c>
      <c r="K36" s="468"/>
      <c r="L36" s="1547"/>
      <c r="M36" s="1547"/>
      <c r="R36" s="1547"/>
      <c r="U36" s="469"/>
      <c r="AA36" s="1543"/>
      <c r="AB36" s="1543"/>
      <c r="AC36" s="1543"/>
      <c r="AD36" s="1543"/>
      <c r="AE36" s="1543"/>
    </row>
    <row r="37" spans="1:31" s="1830" customFormat="1" ht="22.5" customHeight="1">
      <c r="A37" s="895"/>
      <c r="C37" s="1547"/>
      <c r="D37" s="1549"/>
      <c r="E37" s="1574" t="s">
        <v>92</v>
      </c>
      <c r="F37" s="1571" t="s">
        <v>834</v>
      </c>
      <c r="G37" s="1564" t="s">
        <v>803</v>
      </c>
      <c r="H37" s="470"/>
      <c r="I37" s="470"/>
      <c r="J37" s="208" t="s">
        <v>804</v>
      </c>
      <c r="K37" s="468"/>
      <c r="L37" s="1547"/>
      <c r="M37" s="1547"/>
      <c r="R37" s="1547"/>
      <c r="U37" s="469"/>
      <c r="AA37" s="1543"/>
      <c r="AB37" s="1543"/>
      <c r="AC37" s="1543"/>
      <c r="AD37" s="1543"/>
      <c r="AE37" s="1543"/>
    </row>
    <row r="38" spans="1:31" ht="11.25" customHeight="1">
      <c r="D38" s="1549"/>
    </row>
    <row r="39" spans="1:31" ht="26.25" customHeight="1">
      <c r="D39" s="1549"/>
      <c r="E39" s="1164" t="s">
        <v>835</v>
      </c>
      <c r="F39" s="6783" t="s">
        <v>836</v>
      </c>
      <c r="G39" s="6783"/>
      <c r="H39" s="6783"/>
      <c r="I39" s="6783"/>
      <c r="J39" s="6783"/>
    </row>
    <row r="40" spans="1:31" s="6503" customFormat="1" ht="37.5" customHeight="1">
      <c r="A40" s="895"/>
      <c r="B40" s="1547"/>
      <c r="C40" s="1547"/>
      <c r="D40" s="276"/>
      <c r="F40" s="6783" t="s">
        <v>837</v>
      </c>
      <c r="G40" s="6783"/>
      <c r="H40" s="6783"/>
      <c r="I40" s="6783"/>
      <c r="J40" s="6783"/>
      <c r="K40" s="1060"/>
      <c r="L40" s="1547"/>
      <c r="M40" s="1547"/>
      <c r="N40" s="1060"/>
      <c r="O40" s="1060"/>
      <c r="P40" s="1060"/>
      <c r="Q40" s="1060"/>
      <c r="R40" s="1547"/>
      <c r="S40" s="1060"/>
      <c r="T40" s="1060"/>
      <c r="U40" s="469"/>
      <c r="V40" s="1060"/>
      <c r="W40" s="1060"/>
      <c r="X40" s="1060"/>
      <c r="Y40" s="1060"/>
      <c r="Z40" s="1060"/>
      <c r="AA40" s="1543"/>
      <c r="AB40" s="491"/>
      <c r="AC40" s="491"/>
      <c r="AD40" s="491"/>
      <c r="AE40" s="491"/>
    </row>
    <row r="41" spans="1:31" s="6503" customFormat="1" ht="11.25" customHeight="1">
      <c r="A41" s="895"/>
      <c r="B41" s="1547"/>
      <c r="C41" s="1547"/>
      <c r="D41" s="276"/>
      <c r="K41" s="1060"/>
      <c r="L41" s="1547"/>
      <c r="M41" s="1547"/>
      <c r="N41" s="1060"/>
      <c r="O41" s="1060"/>
      <c r="P41" s="1060"/>
      <c r="Q41" s="1060"/>
      <c r="R41" s="1547"/>
      <c r="S41" s="1060"/>
      <c r="T41" s="1060"/>
      <c r="U41" s="469"/>
      <c r="V41" s="1060"/>
      <c r="W41" s="1060"/>
      <c r="X41" s="1060"/>
      <c r="Y41" s="1060"/>
      <c r="Z41" s="1060"/>
      <c r="AA41" s="1543"/>
      <c r="AB41" s="491"/>
      <c r="AC41" s="491"/>
      <c r="AD41" s="491"/>
      <c r="AE41" s="491"/>
    </row>
    <row r="42" spans="1:31" s="6503" customFormat="1" ht="11.25" customHeight="1">
      <c r="A42" s="895"/>
      <c r="B42" s="1547"/>
      <c r="C42" s="1547"/>
      <c r="D42" s="276"/>
      <c r="K42" s="1060"/>
      <c r="L42" s="1547"/>
      <c r="M42" s="1547"/>
      <c r="N42" s="1060"/>
      <c r="O42" s="1060"/>
      <c r="P42" s="1060"/>
      <c r="Q42" s="1060"/>
      <c r="R42" s="1547"/>
      <c r="S42" s="1060"/>
      <c r="T42" s="1060"/>
      <c r="U42" s="469"/>
      <c r="V42" s="1060"/>
      <c r="W42" s="1060"/>
      <c r="X42" s="1060"/>
      <c r="Y42" s="1060"/>
      <c r="Z42" s="1060"/>
      <c r="AA42" s="1543"/>
      <c r="AB42" s="491"/>
      <c r="AC42" s="491"/>
      <c r="AD42" s="491"/>
      <c r="AE42" s="491"/>
    </row>
    <row r="43" spans="1:31" s="6503" customFormat="1" ht="11.25" customHeight="1">
      <c r="A43" s="895"/>
      <c r="B43" s="1547"/>
      <c r="C43" s="1547"/>
      <c r="D43" s="276"/>
      <c r="H43" s="491"/>
      <c r="I43" s="491"/>
      <c r="K43" s="1060"/>
      <c r="L43" s="1547"/>
      <c r="M43" s="1547"/>
      <c r="N43" s="1060"/>
      <c r="O43" s="1060"/>
      <c r="P43" s="1060"/>
      <c r="Q43" s="1060"/>
      <c r="R43" s="1547"/>
      <c r="S43" s="1060"/>
      <c r="T43" s="1060"/>
      <c r="U43" s="469"/>
      <c r="V43" s="1060"/>
      <c r="W43" s="1060"/>
      <c r="X43" s="1060"/>
      <c r="Y43" s="1060"/>
      <c r="Z43" s="1060"/>
      <c r="AA43" s="1543"/>
      <c r="AB43" s="491"/>
      <c r="AC43" s="491"/>
      <c r="AD43" s="491"/>
      <c r="AE43" s="491"/>
    </row>
    <row r="44" spans="1:31" s="6503" customFormat="1" ht="11.25" customHeight="1">
      <c r="A44" s="895"/>
      <c r="B44" s="1547"/>
      <c r="C44" s="1547"/>
      <c r="D44" s="276"/>
      <c r="K44" s="1060"/>
      <c r="L44" s="1547"/>
      <c r="M44" s="1547"/>
      <c r="N44" s="1060"/>
      <c r="O44" s="1060"/>
      <c r="P44" s="1060"/>
      <c r="Q44" s="1060"/>
      <c r="R44" s="1547"/>
      <c r="S44" s="1060"/>
      <c r="T44" s="1060"/>
      <c r="U44" s="469"/>
      <c r="V44" s="1060"/>
      <c r="W44" s="1060"/>
      <c r="X44" s="1060"/>
      <c r="Y44" s="1060"/>
      <c r="Z44" s="1060"/>
      <c r="AA44" s="1543"/>
      <c r="AB44" s="491"/>
      <c r="AC44" s="491"/>
      <c r="AD44" s="491"/>
      <c r="AE44" s="491"/>
    </row>
    <row r="45" spans="1:31" s="6503" customFormat="1" ht="11.25" customHeight="1">
      <c r="A45" s="895"/>
      <c r="B45" s="1547"/>
      <c r="C45" s="1547"/>
      <c r="D45" s="276"/>
      <c r="K45" s="1060"/>
      <c r="L45" s="1547"/>
      <c r="M45" s="1547"/>
      <c r="N45" s="1060"/>
      <c r="O45" s="1060"/>
      <c r="P45" s="1060"/>
      <c r="Q45" s="1060"/>
      <c r="R45" s="1547"/>
      <c r="S45" s="1060"/>
      <c r="T45" s="1060"/>
      <c r="U45" s="469"/>
      <c r="V45" s="1060"/>
      <c r="W45" s="1060"/>
      <c r="X45" s="1060"/>
      <c r="Y45" s="1060"/>
      <c r="Z45" s="1060"/>
      <c r="AA45" s="1543"/>
      <c r="AB45" s="491"/>
      <c r="AC45" s="491"/>
      <c r="AD45" s="491"/>
      <c r="AE45" s="491"/>
    </row>
    <row r="46" spans="1:31" s="6503" customFormat="1" ht="11.25" customHeight="1">
      <c r="A46" s="895"/>
      <c r="B46" s="1547"/>
      <c r="C46" s="1547"/>
      <c r="D46" s="276"/>
      <c r="K46" s="1060"/>
      <c r="L46" s="1547"/>
      <c r="M46" s="1547"/>
      <c r="N46" s="1060"/>
      <c r="O46" s="1060"/>
      <c r="P46" s="1060"/>
      <c r="Q46" s="1060"/>
      <c r="R46" s="1547"/>
      <c r="S46" s="1060"/>
      <c r="T46" s="1060"/>
      <c r="U46" s="469"/>
      <c r="V46" s="1060"/>
      <c r="W46" s="1060"/>
      <c r="X46" s="1060"/>
      <c r="Y46" s="1060"/>
      <c r="Z46" s="1060"/>
      <c r="AA46" s="1543"/>
      <c r="AB46" s="491"/>
      <c r="AC46" s="491"/>
      <c r="AD46" s="491"/>
      <c r="AE46" s="491"/>
    </row>
    <row r="47" spans="1:31" s="6503" customFormat="1" ht="11.25" customHeight="1">
      <c r="A47" s="895"/>
      <c r="B47" s="1547"/>
      <c r="C47" s="1547"/>
      <c r="D47" s="276"/>
      <c r="K47" s="1060"/>
      <c r="L47" s="1547"/>
      <c r="M47" s="1547"/>
      <c r="N47" s="1060"/>
      <c r="O47" s="1060"/>
      <c r="P47" s="1060"/>
      <c r="Q47" s="1060"/>
      <c r="R47" s="1547"/>
      <c r="S47" s="1060"/>
      <c r="T47" s="1060"/>
      <c r="U47" s="469"/>
      <c r="V47" s="1060"/>
      <c r="W47" s="1060"/>
      <c r="X47" s="1060"/>
      <c r="Y47" s="1060"/>
      <c r="Z47" s="1060"/>
      <c r="AA47" s="1543"/>
      <c r="AB47" s="491"/>
      <c r="AC47" s="491"/>
      <c r="AD47" s="491"/>
      <c r="AE47" s="491"/>
    </row>
    <row r="48" spans="1:31" s="6503" customFormat="1" ht="11.25" customHeight="1">
      <c r="A48" s="895"/>
      <c r="B48" s="1547"/>
      <c r="C48" s="1547"/>
      <c r="D48" s="276"/>
      <c r="K48" s="1060"/>
      <c r="L48" s="1547"/>
      <c r="M48" s="1547"/>
      <c r="N48" s="1060"/>
      <c r="O48" s="1060"/>
      <c r="P48" s="1060"/>
      <c r="Q48" s="1060"/>
      <c r="R48" s="1547"/>
      <c r="S48" s="1060"/>
      <c r="T48" s="1060"/>
      <c r="U48" s="469"/>
      <c r="V48" s="1060"/>
      <c r="W48" s="1060"/>
      <c r="X48" s="1060"/>
      <c r="Y48" s="1060"/>
      <c r="Z48" s="1060"/>
      <c r="AA48" s="1543"/>
      <c r="AB48" s="491"/>
      <c r="AC48" s="491"/>
      <c r="AD48" s="491"/>
      <c r="AE48" s="491"/>
    </row>
    <row r="49" spans="1:31" s="6503" customFormat="1" ht="11.25" customHeight="1">
      <c r="A49" s="895"/>
      <c r="B49" s="1547"/>
      <c r="C49" s="1547"/>
      <c r="D49" s="276"/>
      <c r="K49" s="1060"/>
      <c r="L49" s="1547"/>
      <c r="M49" s="1547"/>
      <c r="N49" s="1060"/>
      <c r="O49" s="1060"/>
      <c r="P49" s="1060"/>
      <c r="Q49" s="1060"/>
      <c r="R49" s="1547"/>
      <c r="S49" s="1060"/>
      <c r="T49" s="1060"/>
      <c r="U49" s="469"/>
      <c r="V49" s="1060"/>
      <c r="W49" s="1060"/>
      <c r="X49" s="1060"/>
      <c r="Y49" s="1060"/>
      <c r="Z49" s="1060"/>
      <c r="AA49" s="1543"/>
      <c r="AB49" s="491"/>
      <c r="AC49" s="491"/>
      <c r="AD49" s="491"/>
      <c r="AE49" s="491"/>
    </row>
    <row r="50" spans="1:31" s="6503" customFormat="1" ht="11.25" customHeight="1">
      <c r="A50" s="895"/>
      <c r="B50" s="1547"/>
      <c r="C50" s="1547"/>
      <c r="D50" s="276"/>
      <c r="K50" s="1060"/>
      <c r="L50" s="1547"/>
      <c r="M50" s="1547"/>
      <c r="N50" s="1060"/>
      <c r="O50" s="1060"/>
      <c r="P50" s="1060"/>
      <c r="Q50" s="1060"/>
      <c r="R50" s="1547"/>
      <c r="S50" s="1060"/>
      <c r="T50" s="1060"/>
      <c r="U50" s="469"/>
      <c r="V50" s="1060"/>
      <c r="W50" s="1060"/>
      <c r="X50" s="1060"/>
      <c r="Y50" s="1060"/>
      <c r="Z50" s="1060"/>
      <c r="AA50" s="1543"/>
      <c r="AB50" s="491"/>
      <c r="AC50" s="491"/>
      <c r="AD50" s="491"/>
      <c r="AE50" s="491"/>
    </row>
    <row r="51" spans="1:31" s="6503" customFormat="1" ht="11.25" customHeight="1">
      <c r="A51" s="895"/>
      <c r="B51" s="1547"/>
      <c r="C51" s="1547"/>
      <c r="D51" s="276"/>
      <c r="K51" s="1060"/>
      <c r="L51" s="1547"/>
      <c r="M51" s="1547"/>
      <c r="N51" s="1060"/>
      <c r="O51" s="1060"/>
      <c r="P51" s="1060"/>
      <c r="Q51" s="1060"/>
      <c r="R51" s="1547"/>
      <c r="S51" s="1060"/>
      <c r="T51" s="1060"/>
      <c r="U51" s="469"/>
      <c r="V51" s="1060"/>
      <c r="W51" s="1060"/>
      <c r="X51" s="1060"/>
      <c r="Y51" s="1060"/>
      <c r="Z51" s="1060"/>
      <c r="AA51" s="1543"/>
      <c r="AB51" s="491"/>
      <c r="AC51" s="491"/>
      <c r="AD51" s="491"/>
      <c r="AE51" s="491"/>
    </row>
    <row r="52" spans="1:31" s="6503" customFormat="1" ht="11.25" customHeight="1">
      <c r="A52" s="895"/>
      <c r="B52" s="1547"/>
      <c r="C52" s="1547"/>
      <c r="D52" s="276"/>
      <c r="K52" s="1060"/>
      <c r="L52" s="1547"/>
      <c r="M52" s="1547"/>
      <c r="N52" s="1060"/>
      <c r="O52" s="1060"/>
      <c r="P52" s="1060"/>
      <c r="Q52" s="1060"/>
      <c r="R52" s="1547"/>
      <c r="S52" s="1060"/>
      <c r="T52" s="1060"/>
      <c r="U52" s="469"/>
      <c r="V52" s="1060"/>
      <c r="W52" s="1060"/>
      <c r="X52" s="1060"/>
      <c r="Y52" s="1060"/>
      <c r="Z52" s="1060"/>
      <c r="AA52" s="1543"/>
      <c r="AB52" s="491"/>
      <c r="AC52" s="491"/>
      <c r="AD52" s="491"/>
      <c r="AE52" s="491"/>
    </row>
    <row r="53" spans="1:31" s="6503" customFormat="1" ht="11.25" customHeight="1">
      <c r="A53" s="895"/>
      <c r="B53" s="1547"/>
      <c r="C53" s="1547"/>
      <c r="D53" s="276"/>
      <c r="K53" s="1060"/>
      <c r="L53" s="1547"/>
      <c r="M53" s="1547"/>
      <c r="N53" s="1060"/>
      <c r="O53" s="1060"/>
      <c r="P53" s="1060"/>
      <c r="Q53" s="1060"/>
      <c r="R53" s="1547"/>
      <c r="S53" s="1060"/>
      <c r="T53" s="1060"/>
      <c r="U53" s="469"/>
      <c r="V53" s="1060"/>
      <c r="W53" s="1060"/>
      <c r="X53" s="1060"/>
      <c r="Y53" s="1060"/>
      <c r="Z53" s="1060"/>
      <c r="AA53" s="1543"/>
      <c r="AB53" s="491"/>
      <c r="AC53" s="491"/>
      <c r="AD53" s="491"/>
      <c r="AE53" s="491"/>
    </row>
    <row r="54" spans="1:31" s="6503" customFormat="1" ht="11.25" customHeight="1">
      <c r="A54" s="895"/>
      <c r="B54" s="1547"/>
      <c r="C54" s="1547"/>
      <c r="D54" s="276"/>
      <c r="K54" s="1060"/>
      <c r="L54" s="1547"/>
      <c r="M54" s="1547"/>
      <c r="N54" s="1060"/>
      <c r="O54" s="1060"/>
      <c r="P54" s="1060"/>
      <c r="Q54" s="1060"/>
      <c r="R54" s="1547"/>
      <c r="S54" s="1060"/>
      <c r="T54" s="1060"/>
      <c r="U54" s="469"/>
      <c r="V54" s="1060"/>
      <c r="W54" s="1060"/>
      <c r="X54" s="1060"/>
      <c r="Y54" s="1060"/>
      <c r="Z54" s="1060"/>
      <c r="AA54" s="1543"/>
      <c r="AB54" s="491"/>
      <c r="AC54" s="491"/>
      <c r="AD54" s="491"/>
      <c r="AE54" s="491"/>
    </row>
    <row r="55" spans="1:31" s="6503" customFormat="1" ht="11.25" customHeight="1">
      <c r="A55" s="895"/>
      <c r="B55" s="1547"/>
      <c r="C55" s="1547"/>
      <c r="D55" s="276"/>
      <c r="K55" s="1060"/>
      <c r="L55" s="1547"/>
      <c r="M55" s="1547"/>
      <c r="N55" s="1060"/>
      <c r="O55" s="1060"/>
      <c r="P55" s="1060"/>
      <c r="Q55" s="1060"/>
      <c r="R55" s="1547"/>
      <c r="S55" s="1060"/>
      <c r="T55" s="1060"/>
      <c r="U55" s="469"/>
      <c r="V55" s="1060"/>
      <c r="W55" s="1060"/>
      <c r="X55" s="1060"/>
      <c r="Y55" s="1060"/>
      <c r="Z55" s="1060"/>
      <c r="AA55" s="1543"/>
      <c r="AB55" s="491"/>
      <c r="AC55" s="491"/>
      <c r="AD55" s="491"/>
      <c r="AE55" s="491"/>
    </row>
    <row r="56" spans="1:31" s="6503" customFormat="1" ht="11.25" customHeight="1">
      <c r="A56" s="895"/>
      <c r="B56" s="1547"/>
      <c r="C56" s="1547"/>
      <c r="D56" s="276"/>
      <c r="K56" s="1060"/>
      <c r="L56" s="1547"/>
      <c r="M56" s="1547"/>
      <c r="N56" s="1060"/>
      <c r="O56" s="1060"/>
      <c r="P56" s="1060"/>
      <c r="Q56" s="1060"/>
      <c r="R56" s="1547"/>
      <c r="S56" s="1060"/>
      <c r="T56" s="1060"/>
      <c r="U56" s="469"/>
      <c r="V56" s="1060"/>
      <c r="W56" s="1060"/>
      <c r="X56" s="1060"/>
      <c r="Y56" s="1060"/>
      <c r="Z56" s="1060"/>
      <c r="AA56" s="1543"/>
      <c r="AB56" s="491"/>
      <c r="AC56" s="491"/>
      <c r="AD56" s="491"/>
      <c r="AE56" s="491"/>
    </row>
    <row r="57" spans="1:31" s="6503" customFormat="1" ht="11.25" customHeight="1">
      <c r="A57" s="895"/>
      <c r="B57" s="1547"/>
      <c r="C57" s="1547"/>
      <c r="D57" s="276"/>
      <c r="K57" s="1060"/>
      <c r="L57" s="1547"/>
      <c r="M57" s="1547"/>
      <c r="N57" s="1060"/>
      <c r="O57" s="1060"/>
      <c r="P57" s="1060"/>
      <c r="Q57" s="1060"/>
      <c r="R57" s="1547"/>
      <c r="S57" s="1060"/>
      <c r="T57" s="1060"/>
      <c r="U57" s="469"/>
      <c r="V57" s="1060"/>
      <c r="W57" s="1060"/>
      <c r="X57" s="1060"/>
      <c r="Y57" s="1060"/>
      <c r="Z57" s="1060"/>
      <c r="AA57" s="1543"/>
      <c r="AB57" s="491"/>
      <c r="AC57" s="491"/>
      <c r="AD57" s="491"/>
      <c r="AE57" s="491"/>
    </row>
    <row r="58" spans="1:31" s="6503" customFormat="1" ht="11.25" customHeight="1">
      <c r="A58" s="895"/>
      <c r="B58" s="1547"/>
      <c r="C58" s="1547"/>
      <c r="D58" s="276"/>
      <c r="K58" s="1060"/>
      <c r="L58" s="1547"/>
      <c r="M58" s="1547"/>
      <c r="N58" s="1060"/>
      <c r="O58" s="1060"/>
      <c r="P58" s="1060"/>
      <c r="Q58" s="1060"/>
      <c r="R58" s="1547"/>
      <c r="S58" s="1060"/>
      <c r="T58" s="1060"/>
      <c r="U58" s="469"/>
      <c r="V58" s="1060"/>
      <c r="W58" s="1060"/>
      <c r="X58" s="1060"/>
      <c r="Y58" s="1060"/>
      <c r="Z58" s="1060"/>
      <c r="AA58" s="1543"/>
      <c r="AB58" s="491"/>
      <c r="AC58" s="491"/>
      <c r="AD58" s="491"/>
      <c r="AE58" s="491"/>
    </row>
    <row r="59" spans="1:31" s="6503" customFormat="1" ht="11.25" customHeight="1">
      <c r="A59" s="895"/>
      <c r="B59" s="1547"/>
      <c r="C59" s="1547"/>
      <c r="D59" s="276"/>
      <c r="K59" s="1060"/>
      <c r="L59" s="1547"/>
      <c r="M59" s="1547"/>
      <c r="N59" s="1060"/>
      <c r="O59" s="1060"/>
      <c r="P59" s="1060"/>
      <c r="Q59" s="1060"/>
      <c r="R59" s="1547"/>
      <c r="S59" s="1060"/>
      <c r="T59" s="1060"/>
      <c r="U59" s="469"/>
      <c r="V59" s="1060"/>
      <c r="W59" s="1060"/>
      <c r="X59" s="1060"/>
      <c r="Y59" s="1060"/>
      <c r="Z59" s="1060"/>
      <c r="AA59" s="1543"/>
      <c r="AB59" s="491"/>
      <c r="AC59" s="491"/>
      <c r="AD59" s="491"/>
      <c r="AE59" s="491"/>
    </row>
    <row r="60" spans="1:31" s="6503" customFormat="1" ht="11.25" customHeight="1">
      <c r="A60" s="895"/>
      <c r="B60" s="1547"/>
      <c r="C60" s="1547"/>
      <c r="D60" s="276"/>
      <c r="K60" s="1060"/>
      <c r="L60" s="1547"/>
      <c r="M60" s="1547"/>
      <c r="N60" s="1060"/>
      <c r="O60" s="1060"/>
      <c r="P60" s="1060"/>
      <c r="Q60" s="1060"/>
      <c r="R60" s="1547"/>
      <c r="S60" s="1060"/>
      <c r="T60" s="1060"/>
      <c r="U60" s="469"/>
      <c r="V60" s="1060"/>
      <c r="W60" s="1060"/>
      <c r="X60" s="1060"/>
      <c r="Y60" s="1060"/>
      <c r="Z60" s="1060"/>
      <c r="AA60" s="1543"/>
      <c r="AB60" s="491"/>
      <c r="AC60" s="491"/>
      <c r="AD60" s="491"/>
      <c r="AE60" s="491"/>
    </row>
    <row r="61" spans="1:31" s="6503" customFormat="1" ht="11.25" customHeight="1">
      <c r="A61" s="895"/>
      <c r="B61" s="1547"/>
      <c r="C61" s="1547"/>
      <c r="D61" s="276"/>
      <c r="K61" s="1060"/>
      <c r="L61" s="1547"/>
      <c r="M61" s="1547"/>
      <c r="N61" s="1060"/>
      <c r="O61" s="1060"/>
      <c r="P61" s="1060"/>
      <c r="Q61" s="1060"/>
      <c r="R61" s="1547"/>
      <c r="S61" s="1060"/>
      <c r="T61" s="1060"/>
      <c r="U61" s="469"/>
      <c r="V61" s="1060"/>
      <c r="W61" s="1060"/>
      <c r="X61" s="1060"/>
      <c r="Y61" s="1060"/>
      <c r="Z61" s="1060"/>
      <c r="AA61" s="1543"/>
      <c r="AB61" s="491"/>
      <c r="AC61" s="491"/>
      <c r="AD61" s="491"/>
      <c r="AE61" s="491"/>
    </row>
    <row r="62" spans="1:31" s="6503" customFormat="1" ht="11.25" customHeight="1">
      <c r="A62" s="895"/>
      <c r="B62" s="1547"/>
      <c r="C62" s="1547"/>
      <c r="D62" s="276"/>
      <c r="K62" s="1060"/>
      <c r="L62" s="1547"/>
      <c r="M62" s="1547"/>
      <c r="N62" s="1060"/>
      <c r="O62" s="1060"/>
      <c r="P62" s="1060"/>
      <c r="Q62" s="1060"/>
      <c r="R62" s="1547"/>
      <c r="S62" s="1060"/>
      <c r="T62" s="1060"/>
      <c r="U62" s="469"/>
      <c r="V62" s="1060"/>
      <c r="W62" s="1060"/>
      <c r="X62" s="1060"/>
      <c r="Y62" s="1060"/>
      <c r="Z62" s="1060"/>
      <c r="AA62" s="1543"/>
      <c r="AB62" s="491"/>
      <c r="AC62" s="491"/>
      <c r="AD62" s="491"/>
      <c r="AE62" s="491"/>
    </row>
    <row r="63" spans="1:31" s="6503" customFormat="1" ht="11.25" customHeight="1">
      <c r="A63" s="895"/>
      <c r="B63" s="1547"/>
      <c r="C63" s="1547"/>
      <c r="D63" s="276"/>
      <c r="K63" s="1060"/>
      <c r="L63" s="1547"/>
      <c r="M63" s="1547"/>
      <c r="N63" s="1060"/>
      <c r="O63" s="1060"/>
      <c r="P63" s="1060"/>
      <c r="Q63" s="1060"/>
      <c r="R63" s="1547"/>
      <c r="S63" s="1060"/>
      <c r="T63" s="1060"/>
      <c r="U63" s="469"/>
      <c r="V63" s="1060"/>
      <c r="W63" s="1060"/>
      <c r="X63" s="1060"/>
      <c r="Y63" s="1060"/>
      <c r="Z63" s="1060"/>
      <c r="AA63" s="1543"/>
      <c r="AB63" s="491"/>
      <c r="AC63" s="491"/>
      <c r="AD63" s="491"/>
      <c r="AE63" s="491"/>
    </row>
    <row r="64" spans="1:31" s="6503" customFormat="1" ht="11.25" customHeight="1">
      <c r="A64" s="895"/>
      <c r="B64" s="1547"/>
      <c r="C64" s="1547"/>
      <c r="D64" s="276"/>
      <c r="K64" s="1060"/>
      <c r="L64" s="1547"/>
      <c r="M64" s="1547"/>
      <c r="N64" s="1060"/>
      <c r="O64" s="1060"/>
      <c r="P64" s="1060"/>
      <c r="Q64" s="1060"/>
      <c r="R64" s="1547"/>
      <c r="S64" s="1060"/>
      <c r="T64" s="1060"/>
      <c r="U64" s="469"/>
      <c r="V64" s="1060"/>
      <c r="W64" s="1060"/>
      <c r="X64" s="1060"/>
      <c r="Y64" s="1060"/>
      <c r="Z64" s="1060"/>
      <c r="AA64" s="1543"/>
      <c r="AB64" s="491"/>
      <c r="AC64" s="491"/>
      <c r="AD64" s="491"/>
      <c r="AE64" s="491"/>
    </row>
    <row r="65" spans="1:31" s="6503" customFormat="1" ht="11.25" customHeight="1">
      <c r="A65" s="895"/>
      <c r="B65" s="1547"/>
      <c r="C65" s="1547"/>
      <c r="D65" s="276"/>
      <c r="K65" s="1060"/>
      <c r="L65" s="1547"/>
      <c r="M65" s="1547"/>
      <c r="N65" s="1060"/>
      <c r="O65" s="1060"/>
      <c r="P65" s="1060"/>
      <c r="Q65" s="1060"/>
      <c r="R65" s="1547"/>
      <c r="S65" s="1060"/>
      <c r="T65" s="1060"/>
      <c r="U65" s="469"/>
      <c r="V65" s="1060"/>
      <c r="W65" s="1060"/>
      <c r="X65" s="1060"/>
      <c r="Y65" s="1060"/>
      <c r="Z65" s="1060"/>
      <c r="AA65" s="1543"/>
      <c r="AB65" s="491"/>
      <c r="AC65" s="491"/>
      <c r="AD65" s="491"/>
      <c r="AE65" s="491"/>
    </row>
    <row r="66" spans="1:31" s="6503" customFormat="1" ht="11.25" customHeight="1">
      <c r="A66" s="895"/>
      <c r="B66" s="1547"/>
      <c r="C66" s="1547"/>
      <c r="D66" s="276"/>
      <c r="K66" s="1060"/>
      <c r="L66" s="1547"/>
      <c r="M66" s="1547"/>
      <c r="N66" s="1060"/>
      <c r="O66" s="1060"/>
      <c r="P66" s="1060"/>
      <c r="Q66" s="1060"/>
      <c r="R66" s="1547"/>
      <c r="S66" s="1060"/>
      <c r="T66" s="1060"/>
      <c r="U66" s="469"/>
      <c r="V66" s="1060"/>
      <c r="W66" s="1060"/>
      <c r="X66" s="1060"/>
      <c r="Y66" s="1060"/>
      <c r="Z66" s="1060"/>
      <c r="AA66" s="1543"/>
      <c r="AB66" s="491"/>
      <c r="AC66" s="491"/>
      <c r="AD66" s="491"/>
      <c r="AE66" s="491"/>
    </row>
    <row r="67" spans="1:31" s="6503" customFormat="1" ht="11.25" customHeight="1">
      <c r="A67" s="895"/>
      <c r="B67" s="1547"/>
      <c r="C67" s="1547"/>
      <c r="D67" s="276"/>
      <c r="K67" s="1060"/>
      <c r="L67" s="1547"/>
      <c r="M67" s="1547"/>
      <c r="N67" s="1060"/>
      <c r="O67" s="1060"/>
      <c r="P67" s="1060"/>
      <c r="Q67" s="1060"/>
      <c r="R67" s="1547"/>
      <c r="S67" s="1060"/>
      <c r="T67" s="1060"/>
      <c r="U67" s="469"/>
      <c r="V67" s="1060"/>
      <c r="W67" s="1060"/>
      <c r="X67" s="1060"/>
      <c r="Y67" s="1060"/>
      <c r="Z67" s="1060"/>
      <c r="AA67" s="1543"/>
      <c r="AB67" s="491"/>
      <c r="AC67" s="491"/>
      <c r="AD67" s="491"/>
      <c r="AE67" s="491"/>
    </row>
    <row r="68" spans="1:31" s="6503" customFormat="1" ht="11.25" customHeight="1">
      <c r="A68" s="895"/>
      <c r="B68" s="1547"/>
      <c r="C68" s="1547"/>
      <c r="D68" s="276"/>
      <c r="K68" s="1060"/>
      <c r="L68" s="1547"/>
      <c r="M68" s="1547"/>
      <c r="N68" s="1060"/>
      <c r="O68" s="1060"/>
      <c r="P68" s="1060"/>
      <c r="Q68" s="1060"/>
      <c r="R68" s="1547"/>
      <c r="S68" s="1060"/>
      <c r="T68" s="1060"/>
      <c r="U68" s="469"/>
      <c r="V68" s="1060"/>
      <c r="W68" s="1060"/>
      <c r="X68" s="1060"/>
      <c r="Y68" s="1060"/>
      <c r="Z68" s="1060"/>
      <c r="AA68" s="1543"/>
      <c r="AB68" s="491"/>
      <c r="AC68" s="491"/>
      <c r="AD68" s="491"/>
      <c r="AE68" s="491"/>
    </row>
    <row r="69" spans="1:31" s="6503" customFormat="1" ht="11.25" customHeight="1">
      <c r="A69" s="895"/>
      <c r="B69" s="1547"/>
      <c r="C69" s="1547"/>
      <c r="D69" s="276"/>
      <c r="K69" s="1060"/>
      <c r="L69" s="1547"/>
      <c r="M69" s="1547"/>
      <c r="N69" s="1060"/>
      <c r="O69" s="1060"/>
      <c r="P69" s="1060"/>
      <c r="Q69" s="1060"/>
      <c r="R69" s="1547"/>
      <c r="S69" s="1060"/>
      <c r="T69" s="1060"/>
      <c r="U69" s="469"/>
      <c r="V69" s="1060"/>
      <c r="W69" s="1060"/>
      <c r="X69" s="1060"/>
      <c r="Y69" s="1060"/>
      <c r="Z69" s="1060"/>
      <c r="AA69" s="1543"/>
      <c r="AB69" s="491"/>
      <c r="AC69" s="491"/>
      <c r="AD69" s="491"/>
      <c r="AE69" s="491"/>
    </row>
    <row r="70" spans="1:31" s="6503" customFormat="1" ht="11.25" customHeight="1">
      <c r="A70" s="895"/>
      <c r="B70" s="1547"/>
      <c r="C70" s="1547"/>
      <c r="D70" s="276"/>
      <c r="K70" s="1060"/>
      <c r="L70" s="1547"/>
      <c r="M70" s="1547"/>
      <c r="N70" s="1060"/>
      <c r="O70" s="1060"/>
      <c r="P70" s="1060"/>
      <c r="Q70" s="1060"/>
      <c r="R70" s="1547"/>
      <c r="S70" s="1060"/>
      <c r="T70" s="1060"/>
      <c r="U70" s="469"/>
      <c r="V70" s="1060"/>
      <c r="W70" s="1060"/>
      <c r="X70" s="1060"/>
      <c r="Y70" s="1060"/>
      <c r="Z70" s="1060"/>
      <c r="AA70" s="1543"/>
      <c r="AB70" s="491"/>
      <c r="AC70" s="491"/>
      <c r="AD70" s="491"/>
      <c r="AE70" s="491"/>
    </row>
    <row r="71" spans="1:31" s="6503" customFormat="1" ht="11.25" customHeight="1">
      <c r="A71" s="895"/>
      <c r="B71" s="1547"/>
      <c r="C71" s="1547"/>
      <c r="D71" s="276"/>
      <c r="K71" s="1060"/>
      <c r="L71" s="1547"/>
      <c r="M71" s="1547"/>
      <c r="N71" s="1060"/>
      <c r="O71" s="1060"/>
      <c r="P71" s="1060"/>
      <c r="Q71" s="1060"/>
      <c r="R71" s="1547"/>
      <c r="S71" s="1060"/>
      <c r="T71" s="1060"/>
      <c r="U71" s="469"/>
      <c r="V71" s="1060"/>
      <c r="W71" s="1060"/>
      <c r="X71" s="1060"/>
      <c r="Y71" s="1060"/>
      <c r="Z71" s="1060"/>
      <c r="AA71" s="1543"/>
      <c r="AB71" s="491"/>
      <c r="AC71" s="491"/>
      <c r="AD71" s="491"/>
      <c r="AE71" s="491"/>
    </row>
    <row r="72" spans="1:31" s="6503" customFormat="1" ht="11.25" customHeight="1">
      <c r="A72" s="895"/>
      <c r="B72" s="1547"/>
      <c r="C72" s="1547"/>
      <c r="D72" s="276"/>
      <c r="K72" s="1060"/>
      <c r="L72" s="1547"/>
      <c r="M72" s="1547"/>
      <c r="N72" s="1060"/>
      <c r="O72" s="1060"/>
      <c r="P72" s="1060"/>
      <c r="Q72" s="1060"/>
      <c r="R72" s="1547"/>
      <c r="S72" s="1060"/>
      <c r="T72" s="1060"/>
      <c r="U72" s="469"/>
      <c r="V72" s="1060"/>
      <c r="W72" s="1060"/>
      <c r="X72" s="1060"/>
      <c r="Y72" s="1060"/>
      <c r="Z72" s="1060"/>
      <c r="AA72" s="1543"/>
      <c r="AB72" s="491"/>
      <c r="AC72" s="491"/>
      <c r="AD72" s="491"/>
      <c r="AE72" s="491"/>
    </row>
    <row r="73" spans="1:31" s="6503" customFormat="1" ht="11.25" customHeight="1">
      <c r="A73" s="895"/>
      <c r="B73" s="1547"/>
      <c r="C73" s="1547"/>
      <c r="D73" s="276"/>
      <c r="K73" s="1060"/>
      <c r="L73" s="1547"/>
      <c r="M73" s="1547"/>
      <c r="N73" s="1060"/>
      <c r="O73" s="1060"/>
      <c r="P73" s="1060"/>
      <c r="Q73" s="1060"/>
      <c r="R73" s="1547"/>
      <c r="S73" s="1060"/>
      <c r="T73" s="1060"/>
      <c r="U73" s="469"/>
      <c r="V73" s="1060"/>
      <c r="W73" s="1060"/>
      <c r="X73" s="1060"/>
      <c r="Y73" s="1060"/>
      <c r="Z73" s="1060"/>
      <c r="AA73" s="1543"/>
      <c r="AB73" s="491"/>
      <c r="AC73" s="491"/>
      <c r="AD73" s="491"/>
      <c r="AE73" s="491"/>
    </row>
    <row r="74" spans="1:31" s="6503" customFormat="1" ht="11.25" customHeight="1">
      <c r="A74" s="895"/>
      <c r="B74" s="1547"/>
      <c r="C74" s="1547"/>
      <c r="D74" s="276"/>
      <c r="K74" s="1060"/>
      <c r="L74" s="1547"/>
      <c r="M74" s="1547"/>
      <c r="N74" s="1060"/>
      <c r="O74" s="1060"/>
      <c r="P74" s="1060"/>
      <c r="Q74" s="1060"/>
      <c r="R74" s="1547"/>
      <c r="S74" s="1060"/>
      <c r="T74" s="1060"/>
      <c r="U74" s="469"/>
      <c r="V74" s="1060"/>
      <c r="W74" s="1060"/>
      <c r="X74" s="1060"/>
      <c r="Y74" s="1060"/>
      <c r="Z74" s="1060"/>
      <c r="AA74" s="1543"/>
      <c r="AB74" s="491"/>
      <c r="AC74" s="491"/>
      <c r="AD74" s="491"/>
      <c r="AE74" s="491"/>
    </row>
    <row r="75" spans="1:31" s="6503" customFormat="1" ht="11.25" customHeight="1">
      <c r="A75" s="895"/>
      <c r="B75" s="1547"/>
      <c r="C75" s="1547"/>
      <c r="D75" s="276"/>
      <c r="K75" s="1060"/>
      <c r="L75" s="1547"/>
      <c r="M75" s="1547"/>
      <c r="N75" s="1060"/>
      <c r="O75" s="1060"/>
      <c r="P75" s="1060"/>
      <c r="Q75" s="1060"/>
      <c r="R75" s="1547"/>
      <c r="S75" s="1060"/>
      <c r="T75" s="1060"/>
      <c r="U75" s="469"/>
      <c r="V75" s="1060"/>
      <c r="W75" s="1060"/>
      <c r="X75" s="1060"/>
      <c r="Y75" s="1060"/>
      <c r="Z75" s="1060"/>
      <c r="AA75" s="1543"/>
      <c r="AB75" s="491"/>
      <c r="AC75" s="491"/>
      <c r="AD75" s="491"/>
      <c r="AE75" s="491"/>
    </row>
    <row r="76" spans="1:31" s="6503" customFormat="1" ht="11.25" customHeight="1">
      <c r="A76" s="895"/>
      <c r="B76" s="1547"/>
      <c r="C76" s="1547"/>
      <c r="D76" s="276"/>
      <c r="K76" s="1060"/>
      <c r="L76" s="1547"/>
      <c r="M76" s="1547"/>
      <c r="N76" s="1060"/>
      <c r="O76" s="1060"/>
      <c r="P76" s="1060"/>
      <c r="Q76" s="1060"/>
      <c r="R76" s="1547"/>
      <c r="S76" s="1060"/>
      <c r="T76" s="1060"/>
      <c r="U76" s="469"/>
      <c r="V76" s="1060"/>
      <c r="W76" s="1060"/>
      <c r="X76" s="1060"/>
      <c r="Y76" s="1060"/>
      <c r="Z76" s="1060"/>
      <c r="AA76" s="1543"/>
      <c r="AB76" s="491"/>
      <c r="AC76" s="491"/>
      <c r="AD76" s="491"/>
      <c r="AE76" s="491"/>
    </row>
    <row r="77" spans="1:31" s="6503" customFormat="1" ht="11.25" customHeight="1">
      <c r="A77" s="895"/>
      <c r="B77" s="1547"/>
      <c r="C77" s="1547"/>
      <c r="D77" s="276"/>
      <c r="K77" s="1060"/>
      <c r="L77" s="1547"/>
      <c r="M77" s="1547"/>
      <c r="N77" s="1060"/>
      <c r="O77" s="1060"/>
      <c r="P77" s="1060"/>
      <c r="Q77" s="1060"/>
      <c r="R77" s="1547"/>
      <c r="S77" s="1060"/>
      <c r="T77" s="1060"/>
      <c r="U77" s="469"/>
      <c r="V77" s="1060"/>
      <c r="W77" s="1060"/>
      <c r="X77" s="1060"/>
      <c r="Y77" s="1060"/>
      <c r="Z77" s="1060"/>
      <c r="AA77" s="1543"/>
      <c r="AB77" s="491"/>
      <c r="AC77" s="491"/>
      <c r="AD77" s="491"/>
      <c r="AE77" s="491"/>
    </row>
    <row r="78" spans="1:31" s="6503" customFormat="1" ht="11.25" customHeight="1">
      <c r="A78" s="895"/>
      <c r="B78" s="1547"/>
      <c r="C78" s="1547"/>
      <c r="D78" s="276"/>
      <c r="K78" s="1060"/>
      <c r="L78" s="1547"/>
      <c r="M78" s="1547"/>
      <c r="N78" s="1060"/>
      <c r="O78" s="1060"/>
      <c r="P78" s="1060"/>
      <c r="Q78" s="1060"/>
      <c r="R78" s="1547"/>
      <c r="S78" s="1060"/>
      <c r="T78" s="1060"/>
      <c r="U78" s="469"/>
      <c r="V78" s="1060"/>
      <c r="W78" s="1060"/>
      <c r="X78" s="1060"/>
      <c r="Y78" s="1060"/>
      <c r="Z78" s="1060"/>
      <c r="AA78" s="1543"/>
      <c r="AB78" s="491"/>
      <c r="AC78" s="491"/>
      <c r="AD78" s="491"/>
      <c r="AE78" s="491"/>
    </row>
    <row r="79" spans="1:31" s="6503" customFormat="1" ht="11.25" customHeight="1">
      <c r="A79" s="895"/>
      <c r="B79" s="1547"/>
      <c r="C79" s="1547"/>
      <c r="D79" s="276"/>
      <c r="K79" s="1060"/>
      <c r="L79" s="1547"/>
      <c r="M79" s="1547"/>
      <c r="N79" s="1060"/>
      <c r="O79" s="1060"/>
      <c r="P79" s="1060"/>
      <c r="Q79" s="1060"/>
      <c r="R79" s="1547"/>
      <c r="S79" s="1060"/>
      <c r="T79" s="1060"/>
      <c r="U79" s="469"/>
      <c r="V79" s="1060"/>
      <c r="W79" s="1060"/>
      <c r="X79" s="1060"/>
      <c r="Y79" s="1060"/>
      <c r="Z79" s="1060"/>
      <c r="AA79" s="1543"/>
      <c r="AB79" s="491"/>
      <c r="AC79" s="491"/>
      <c r="AD79" s="491"/>
      <c r="AE79" s="491"/>
    </row>
    <row r="80" spans="1:31" s="6503" customFormat="1" ht="11.25" customHeight="1">
      <c r="A80" s="895"/>
      <c r="B80" s="1547"/>
      <c r="C80" s="1547"/>
      <c r="D80" s="276"/>
      <c r="K80" s="1060"/>
      <c r="L80" s="1547"/>
      <c r="M80" s="1547"/>
      <c r="N80" s="1060"/>
      <c r="O80" s="1060"/>
      <c r="P80" s="1060"/>
      <c r="Q80" s="1060"/>
      <c r="R80" s="1547"/>
      <c r="S80" s="1060"/>
      <c r="T80" s="1060"/>
      <c r="U80" s="469"/>
      <c r="V80" s="1060"/>
      <c r="W80" s="1060"/>
      <c r="X80" s="1060"/>
      <c r="Y80" s="1060"/>
      <c r="Z80" s="1060"/>
      <c r="AA80" s="1543"/>
      <c r="AB80" s="491"/>
      <c r="AC80" s="491"/>
      <c r="AD80" s="491"/>
      <c r="AE80" s="491"/>
    </row>
    <row r="81" spans="1:31" s="6503" customFormat="1" ht="11.25" customHeight="1">
      <c r="A81" s="895"/>
      <c r="B81" s="1547"/>
      <c r="C81" s="1547"/>
      <c r="D81" s="276"/>
      <c r="K81" s="1060"/>
      <c r="L81" s="1547"/>
      <c r="M81" s="1547"/>
      <c r="N81" s="1060"/>
      <c r="O81" s="1060"/>
      <c r="P81" s="1060"/>
      <c r="Q81" s="1060"/>
      <c r="R81" s="1547"/>
      <c r="S81" s="1060"/>
      <c r="T81" s="1060"/>
      <c r="U81" s="469"/>
      <c r="V81" s="1060"/>
      <c r="W81" s="1060"/>
      <c r="X81" s="1060"/>
      <c r="Y81" s="1060"/>
      <c r="Z81" s="1060"/>
      <c r="AA81" s="1543"/>
      <c r="AB81" s="491"/>
      <c r="AC81" s="491"/>
      <c r="AD81" s="491"/>
      <c r="AE81" s="491"/>
    </row>
    <row r="82" spans="1:31" s="6503" customFormat="1" ht="11.25" customHeight="1">
      <c r="A82" s="895"/>
      <c r="B82" s="1547"/>
      <c r="C82" s="1547"/>
      <c r="D82" s="276"/>
      <c r="K82" s="1060"/>
      <c r="L82" s="1547"/>
      <c r="M82" s="1547"/>
      <c r="N82" s="1060"/>
      <c r="O82" s="1060"/>
      <c r="P82" s="1060"/>
      <c r="Q82" s="1060"/>
      <c r="R82" s="1547"/>
      <c r="S82" s="1060"/>
      <c r="T82" s="1060"/>
      <c r="U82" s="469"/>
      <c r="V82" s="1060"/>
      <c r="W82" s="1060"/>
      <c r="X82" s="1060"/>
      <c r="Y82" s="1060"/>
      <c r="Z82" s="1060"/>
      <c r="AA82" s="1543"/>
      <c r="AB82" s="491"/>
      <c r="AC82" s="491"/>
      <c r="AD82" s="491"/>
      <c r="AE82" s="491"/>
    </row>
    <row r="83" spans="1:31" s="6503" customFormat="1" ht="11.25" customHeight="1">
      <c r="A83" s="895"/>
      <c r="B83" s="1547"/>
      <c r="C83" s="1547"/>
      <c r="D83" s="276"/>
      <c r="K83" s="1060"/>
      <c r="L83" s="1547"/>
      <c r="M83" s="1547"/>
      <c r="N83" s="1060"/>
      <c r="O83" s="1060"/>
      <c r="P83" s="1060"/>
      <c r="Q83" s="1060"/>
      <c r="R83" s="1547"/>
      <c r="S83" s="1060"/>
      <c r="T83" s="1060"/>
      <c r="U83" s="469"/>
      <c r="V83" s="1060"/>
      <c r="W83" s="1060"/>
      <c r="X83" s="1060"/>
      <c r="Y83" s="1060"/>
      <c r="Z83" s="1060"/>
      <c r="AA83" s="1543"/>
      <c r="AB83" s="491"/>
      <c r="AC83" s="491"/>
      <c r="AD83" s="491"/>
      <c r="AE83" s="491"/>
    </row>
    <row r="84" spans="1:31" s="6503" customFormat="1" ht="11.25" customHeight="1">
      <c r="A84" s="895"/>
      <c r="B84" s="1547"/>
      <c r="C84" s="1547"/>
      <c r="D84" s="276"/>
      <c r="K84" s="1060"/>
      <c r="L84" s="1547"/>
      <c r="M84" s="1547"/>
      <c r="N84" s="1060"/>
      <c r="O84" s="1060"/>
      <c r="P84" s="1060"/>
      <c r="Q84" s="1060"/>
      <c r="R84" s="1547"/>
      <c r="S84" s="1060"/>
      <c r="T84" s="1060"/>
      <c r="U84" s="469"/>
      <c r="V84" s="1060"/>
      <c r="W84" s="1060"/>
      <c r="X84" s="1060"/>
      <c r="Y84" s="1060"/>
      <c r="Z84" s="1060"/>
      <c r="AA84" s="1543"/>
      <c r="AB84" s="491"/>
      <c r="AC84" s="491"/>
      <c r="AD84" s="491"/>
      <c r="AE84" s="491"/>
    </row>
    <row r="85" spans="1:31" s="6503" customFormat="1" ht="11.25" customHeight="1">
      <c r="A85" s="895"/>
      <c r="B85" s="1547"/>
      <c r="C85" s="1547"/>
      <c r="D85" s="276"/>
      <c r="K85" s="1060"/>
      <c r="L85" s="1547"/>
      <c r="M85" s="1547"/>
      <c r="N85" s="1060"/>
      <c r="O85" s="1060"/>
      <c r="P85" s="1060"/>
      <c r="Q85" s="1060"/>
      <c r="R85" s="1547"/>
      <c r="S85" s="1060"/>
      <c r="T85" s="1060"/>
      <c r="U85" s="469"/>
      <c r="V85" s="1060"/>
      <c r="W85" s="1060"/>
      <c r="X85" s="1060"/>
      <c r="Y85" s="1060"/>
      <c r="Z85" s="1060"/>
      <c r="AA85" s="1543"/>
      <c r="AB85" s="491"/>
      <c r="AC85" s="491"/>
      <c r="AD85" s="491"/>
      <c r="AE85" s="491"/>
    </row>
    <row r="86" spans="1:31" s="6503" customFormat="1" ht="11.25" customHeight="1">
      <c r="A86" s="895"/>
      <c r="B86" s="1547"/>
      <c r="C86" s="1547"/>
      <c r="D86" s="276"/>
      <c r="K86" s="1060"/>
      <c r="L86" s="1547"/>
      <c r="M86" s="1547"/>
      <c r="N86" s="1060"/>
      <c r="O86" s="1060"/>
      <c r="P86" s="1060"/>
      <c r="Q86" s="1060"/>
      <c r="R86" s="1547"/>
      <c r="S86" s="1060"/>
      <c r="T86" s="1060"/>
      <c r="U86" s="469"/>
      <c r="V86" s="1060"/>
      <c r="W86" s="1060"/>
      <c r="X86" s="1060"/>
      <c r="Y86" s="1060"/>
      <c r="Z86" s="1060"/>
      <c r="AA86" s="1543"/>
      <c r="AB86" s="491"/>
      <c r="AC86" s="491"/>
      <c r="AD86" s="491"/>
      <c r="AE86" s="491"/>
    </row>
    <row r="87" spans="1:31" s="6503" customFormat="1" ht="11.25" customHeight="1">
      <c r="A87" s="895"/>
      <c r="B87" s="1547"/>
      <c r="C87" s="1547"/>
      <c r="D87" s="276"/>
      <c r="K87" s="1060"/>
      <c r="L87" s="1547"/>
      <c r="M87" s="1547"/>
      <c r="N87" s="1060"/>
      <c r="O87" s="1060"/>
      <c r="P87" s="1060"/>
      <c r="Q87" s="1060"/>
      <c r="R87" s="1547"/>
      <c r="S87" s="1060"/>
      <c r="T87" s="1060"/>
      <c r="U87" s="469"/>
      <c r="V87" s="1060"/>
      <c r="W87" s="1060"/>
      <c r="X87" s="1060"/>
      <c r="Y87" s="1060"/>
      <c r="Z87" s="1060"/>
      <c r="AA87" s="1543"/>
      <c r="AB87" s="491"/>
      <c r="AC87" s="491"/>
      <c r="AD87" s="491"/>
      <c r="AE87" s="491"/>
    </row>
    <row r="88" spans="1:31" s="6503" customFormat="1" ht="11.25" customHeight="1">
      <c r="A88" s="895"/>
      <c r="B88" s="1547"/>
      <c r="C88" s="1547"/>
      <c r="D88" s="276"/>
      <c r="K88" s="1060"/>
      <c r="L88" s="1547"/>
      <c r="M88" s="1547"/>
      <c r="N88" s="1060"/>
      <c r="O88" s="1060"/>
      <c r="P88" s="1060"/>
      <c r="Q88" s="1060"/>
      <c r="R88" s="1547"/>
      <c r="S88" s="1060"/>
      <c r="T88" s="1060"/>
      <c r="U88" s="469"/>
      <c r="V88" s="1060"/>
      <c r="W88" s="1060"/>
      <c r="X88" s="1060"/>
      <c r="Y88" s="1060"/>
      <c r="Z88" s="1060"/>
      <c r="AA88" s="1543"/>
      <c r="AB88" s="491"/>
      <c r="AC88" s="491"/>
      <c r="AD88" s="491"/>
      <c r="AE88" s="491"/>
    </row>
    <row r="89" spans="1:31" s="6503" customFormat="1" ht="11.25" customHeight="1">
      <c r="A89" s="895"/>
      <c r="B89" s="1547"/>
      <c r="C89" s="1547"/>
      <c r="D89" s="276"/>
      <c r="K89" s="1060"/>
      <c r="L89" s="1547"/>
      <c r="M89" s="1547"/>
      <c r="N89" s="1060"/>
      <c r="O89" s="1060"/>
      <c r="P89" s="1060"/>
      <c r="Q89" s="1060"/>
      <c r="R89" s="1547"/>
      <c r="S89" s="1060"/>
      <c r="T89" s="1060"/>
      <c r="U89" s="469"/>
      <c r="V89" s="1060"/>
      <c r="W89" s="1060"/>
      <c r="X89" s="1060"/>
      <c r="Y89" s="1060"/>
      <c r="Z89" s="1060"/>
      <c r="AA89" s="1543"/>
      <c r="AB89" s="491"/>
      <c r="AC89" s="491"/>
      <c r="AD89" s="491"/>
      <c r="AE89" s="491"/>
    </row>
    <row r="90" spans="1:31" s="6503" customFormat="1" ht="11.25" customHeight="1">
      <c r="A90" s="895"/>
      <c r="B90" s="1547"/>
      <c r="C90" s="1547"/>
      <c r="D90" s="276"/>
      <c r="K90" s="1060"/>
      <c r="L90" s="1547"/>
      <c r="M90" s="1547"/>
      <c r="N90" s="1060"/>
      <c r="O90" s="1060"/>
      <c r="P90" s="1060"/>
      <c r="Q90" s="1060"/>
      <c r="R90" s="1547"/>
      <c r="S90" s="1060"/>
      <c r="T90" s="1060"/>
      <c r="U90" s="469"/>
      <c r="V90" s="1060"/>
      <c r="W90" s="1060"/>
      <c r="X90" s="1060"/>
      <c r="Y90" s="1060"/>
      <c r="Z90" s="1060"/>
      <c r="AA90" s="1543"/>
      <c r="AB90" s="491"/>
      <c r="AC90" s="491"/>
      <c r="AD90" s="491"/>
      <c r="AE90" s="491"/>
    </row>
    <row r="91" spans="1:31" s="6503" customFormat="1" ht="11.25" customHeight="1">
      <c r="A91" s="895"/>
      <c r="B91" s="1547"/>
      <c r="C91" s="1547"/>
      <c r="D91" s="276"/>
      <c r="K91" s="1060"/>
      <c r="L91" s="1547"/>
      <c r="M91" s="1547"/>
      <c r="N91" s="1060"/>
      <c r="O91" s="1060"/>
      <c r="P91" s="1060"/>
      <c r="Q91" s="1060"/>
      <c r="R91" s="1547"/>
      <c r="S91" s="1060"/>
      <c r="T91" s="1060"/>
      <c r="U91" s="469"/>
      <c r="V91" s="1060"/>
      <c r="W91" s="1060"/>
      <c r="X91" s="1060"/>
      <c r="Y91" s="1060"/>
      <c r="Z91" s="1060"/>
      <c r="AA91" s="1543"/>
      <c r="AB91" s="491"/>
      <c r="AC91" s="491"/>
      <c r="AD91" s="491"/>
      <c r="AE91" s="491"/>
    </row>
    <row r="92" spans="1:31" s="6503" customFormat="1" ht="11.25" customHeight="1">
      <c r="A92" s="895"/>
      <c r="B92" s="1547"/>
      <c r="C92" s="1547"/>
      <c r="D92" s="276"/>
      <c r="K92" s="1060"/>
      <c r="L92" s="1547"/>
      <c r="M92" s="1547"/>
      <c r="N92" s="1060"/>
      <c r="O92" s="1060"/>
      <c r="P92" s="1060"/>
      <c r="Q92" s="1060"/>
      <c r="R92" s="1547"/>
      <c r="S92" s="1060"/>
      <c r="T92" s="1060"/>
      <c r="U92" s="469"/>
      <c r="V92" s="1060"/>
      <c r="W92" s="1060"/>
      <c r="X92" s="1060"/>
      <c r="Y92" s="1060"/>
      <c r="Z92" s="1060"/>
      <c r="AA92" s="1543"/>
      <c r="AB92" s="491"/>
      <c r="AC92" s="491"/>
      <c r="AD92" s="491"/>
      <c r="AE92" s="491"/>
    </row>
    <row r="93" spans="1:31" s="6503" customFormat="1" ht="11.25" customHeight="1">
      <c r="A93" s="895"/>
      <c r="B93" s="1547"/>
      <c r="C93" s="1547"/>
      <c r="D93" s="276"/>
      <c r="K93" s="1060"/>
      <c r="L93" s="1547"/>
      <c r="M93" s="1547"/>
      <c r="N93" s="1060"/>
      <c r="O93" s="1060"/>
      <c r="P93" s="1060"/>
      <c r="Q93" s="1060"/>
      <c r="R93" s="1547"/>
      <c r="S93" s="1060"/>
      <c r="T93" s="1060"/>
      <c r="U93" s="469"/>
      <c r="V93" s="1060"/>
      <c r="W93" s="1060"/>
      <c r="X93" s="1060"/>
      <c r="Y93" s="1060"/>
      <c r="Z93" s="1060"/>
      <c r="AA93" s="1543"/>
      <c r="AB93" s="491"/>
      <c r="AC93" s="491"/>
      <c r="AD93" s="491"/>
      <c r="AE93" s="491"/>
    </row>
    <row r="94" spans="1:31" s="6503" customFormat="1" ht="11.25" customHeight="1">
      <c r="A94" s="895"/>
      <c r="B94" s="1547"/>
      <c r="C94" s="1547"/>
      <c r="D94" s="276"/>
      <c r="K94" s="1060"/>
      <c r="L94" s="1547"/>
      <c r="M94" s="1547"/>
      <c r="N94" s="1060"/>
      <c r="O94" s="1060"/>
      <c r="P94" s="1060"/>
      <c r="Q94" s="1060"/>
      <c r="R94" s="1547"/>
      <c r="S94" s="1060"/>
      <c r="T94" s="1060"/>
      <c r="U94" s="469"/>
      <c r="V94" s="1060"/>
      <c r="W94" s="1060"/>
      <c r="X94" s="1060"/>
      <c r="Y94" s="1060"/>
      <c r="Z94" s="1060"/>
      <c r="AA94" s="1543"/>
      <c r="AB94" s="491"/>
      <c r="AC94" s="491"/>
      <c r="AD94" s="491"/>
      <c r="AE94" s="491"/>
    </row>
    <row r="95" spans="1:31" s="6503" customFormat="1" ht="11.25" customHeight="1">
      <c r="A95" s="895"/>
      <c r="B95" s="1547"/>
      <c r="C95" s="1547"/>
      <c r="D95" s="276"/>
      <c r="K95" s="1060"/>
      <c r="L95" s="1547"/>
      <c r="M95" s="1547"/>
      <c r="N95" s="1060"/>
      <c r="O95" s="1060"/>
      <c r="P95" s="1060"/>
      <c r="Q95" s="1060"/>
      <c r="R95" s="1547"/>
      <c r="S95" s="1060"/>
      <c r="T95" s="1060"/>
      <c r="U95" s="469"/>
      <c r="V95" s="1060"/>
      <c r="W95" s="1060"/>
      <c r="X95" s="1060"/>
      <c r="Y95" s="1060"/>
      <c r="Z95" s="1060"/>
      <c r="AA95" s="1543"/>
      <c r="AB95" s="491"/>
      <c r="AC95" s="491"/>
      <c r="AD95" s="491"/>
      <c r="AE95" s="491"/>
    </row>
    <row r="96" spans="1:31" s="6503" customFormat="1" ht="11.25" customHeight="1">
      <c r="A96" s="895"/>
      <c r="B96" s="1547"/>
      <c r="C96" s="1547"/>
      <c r="D96" s="276"/>
      <c r="K96" s="1060"/>
      <c r="L96" s="1547"/>
      <c r="M96" s="1547"/>
      <c r="N96" s="1060"/>
      <c r="O96" s="1060"/>
      <c r="P96" s="1060"/>
      <c r="Q96" s="1060"/>
      <c r="R96" s="1547"/>
      <c r="S96" s="1060"/>
      <c r="T96" s="1060"/>
      <c r="U96" s="469"/>
      <c r="V96" s="1060"/>
      <c r="W96" s="1060"/>
      <c r="X96" s="1060"/>
      <c r="Y96" s="1060"/>
      <c r="Z96" s="1060"/>
      <c r="AA96" s="1543"/>
      <c r="AB96" s="491"/>
      <c r="AC96" s="491"/>
      <c r="AD96" s="491"/>
      <c r="AE96" s="491"/>
    </row>
    <row r="97" spans="1:31" s="6503" customFormat="1" ht="11.25" customHeight="1">
      <c r="A97" s="895"/>
      <c r="B97" s="1547"/>
      <c r="C97" s="1547"/>
      <c r="D97" s="276"/>
      <c r="K97" s="1060"/>
      <c r="L97" s="1547"/>
      <c r="M97" s="1547"/>
      <c r="N97" s="1060"/>
      <c r="O97" s="1060"/>
      <c r="P97" s="1060"/>
      <c r="Q97" s="1060"/>
      <c r="R97" s="1547"/>
      <c r="S97" s="1060"/>
      <c r="T97" s="1060"/>
      <c r="U97" s="469"/>
      <c r="V97" s="1060"/>
      <c r="W97" s="1060"/>
      <c r="X97" s="1060"/>
      <c r="Y97" s="1060"/>
      <c r="Z97" s="1060"/>
      <c r="AA97" s="1543"/>
      <c r="AB97" s="491"/>
      <c r="AC97" s="491"/>
      <c r="AD97" s="491"/>
      <c r="AE97" s="491"/>
    </row>
    <row r="98" spans="1:31" s="6503" customFormat="1" ht="11.25" customHeight="1">
      <c r="A98" s="895"/>
      <c r="B98" s="1547"/>
      <c r="C98" s="1547"/>
      <c r="D98" s="276"/>
      <c r="K98" s="1060"/>
      <c r="L98" s="1547"/>
      <c r="M98" s="1547"/>
      <c r="N98" s="1060"/>
      <c r="O98" s="1060"/>
      <c r="P98" s="1060"/>
      <c r="Q98" s="1060"/>
      <c r="R98" s="1547"/>
      <c r="S98" s="1060"/>
      <c r="T98" s="1060"/>
      <c r="U98" s="469"/>
      <c r="V98" s="1060"/>
      <c r="W98" s="1060"/>
      <c r="X98" s="1060"/>
      <c r="Y98" s="1060"/>
      <c r="Z98" s="1060"/>
      <c r="AA98" s="1543"/>
      <c r="AB98" s="491"/>
      <c r="AC98" s="491"/>
      <c r="AD98" s="491"/>
      <c r="AE98" s="491"/>
    </row>
    <row r="99" spans="1:31" s="6503" customFormat="1" ht="11.25" customHeight="1">
      <c r="A99" s="895"/>
      <c r="B99" s="1547"/>
      <c r="C99" s="1547"/>
      <c r="D99" s="276"/>
      <c r="K99" s="1060"/>
      <c r="L99" s="1547"/>
      <c r="M99" s="1547"/>
      <c r="N99" s="1060"/>
      <c r="O99" s="1060"/>
      <c r="P99" s="1060"/>
      <c r="Q99" s="1060"/>
      <c r="R99" s="1547"/>
      <c r="S99" s="1060"/>
      <c r="T99" s="1060"/>
      <c r="U99" s="469"/>
      <c r="V99" s="1060"/>
      <c r="W99" s="1060"/>
      <c r="X99" s="1060"/>
      <c r="Y99" s="1060"/>
      <c r="Z99" s="1060"/>
      <c r="AA99" s="1543"/>
      <c r="AB99" s="491"/>
      <c r="AC99" s="491"/>
      <c r="AD99" s="491"/>
      <c r="AE99" s="491"/>
    </row>
    <row r="100" spans="1:31" s="6503" customFormat="1" ht="11.25" customHeight="1">
      <c r="A100" s="895"/>
      <c r="B100" s="1547"/>
      <c r="C100" s="1547"/>
      <c r="D100" s="276"/>
      <c r="K100" s="1060"/>
      <c r="L100" s="1547"/>
      <c r="M100" s="1547"/>
      <c r="N100" s="1060"/>
      <c r="O100" s="1060"/>
      <c r="P100" s="1060"/>
      <c r="Q100" s="1060"/>
      <c r="R100" s="1547"/>
      <c r="S100" s="1060"/>
      <c r="T100" s="1060"/>
      <c r="U100" s="469"/>
      <c r="V100" s="1060"/>
      <c r="W100" s="1060"/>
      <c r="X100" s="1060"/>
      <c r="Y100" s="1060"/>
      <c r="Z100" s="1060"/>
      <c r="AA100" s="1543"/>
      <c r="AB100" s="491"/>
      <c r="AC100" s="491"/>
      <c r="AD100" s="491"/>
      <c r="AE100" s="491"/>
    </row>
    <row r="101" spans="1:31" s="6503" customFormat="1" ht="11.25" customHeight="1">
      <c r="A101" s="895"/>
      <c r="B101" s="1547"/>
      <c r="C101" s="1547"/>
      <c r="D101" s="276"/>
      <c r="K101" s="1060"/>
      <c r="L101" s="1547"/>
      <c r="M101" s="1547"/>
      <c r="N101" s="1060"/>
      <c r="O101" s="1060"/>
      <c r="P101" s="1060"/>
      <c r="Q101" s="1060"/>
      <c r="R101" s="1547"/>
      <c r="S101" s="1060"/>
      <c r="T101" s="1060"/>
      <c r="U101" s="469"/>
      <c r="V101" s="1060"/>
      <c r="W101" s="1060"/>
      <c r="X101" s="1060"/>
      <c r="Y101" s="1060"/>
      <c r="Z101" s="1060"/>
      <c r="AA101" s="1543"/>
      <c r="AB101" s="491"/>
      <c r="AC101" s="491"/>
      <c r="AD101" s="491"/>
      <c r="AE101" s="491"/>
    </row>
    <row r="102" spans="1:31" s="6503" customFormat="1" ht="11.25" customHeight="1">
      <c r="A102" s="895"/>
      <c r="B102" s="1547"/>
      <c r="C102" s="1547"/>
      <c r="D102" s="276"/>
      <c r="K102" s="1060"/>
      <c r="L102" s="1547"/>
      <c r="M102" s="1547"/>
      <c r="N102" s="1060"/>
      <c r="O102" s="1060"/>
      <c r="P102" s="1060"/>
      <c r="Q102" s="1060"/>
      <c r="R102" s="1547"/>
      <c r="S102" s="1060"/>
      <c r="T102" s="1060"/>
      <c r="U102" s="469"/>
      <c r="V102" s="1060"/>
      <c r="W102" s="1060"/>
      <c r="X102" s="1060"/>
      <c r="Y102" s="1060"/>
      <c r="Z102" s="1060"/>
      <c r="AA102" s="1543"/>
      <c r="AB102" s="491"/>
      <c r="AC102" s="491"/>
      <c r="AD102" s="491"/>
      <c r="AE102" s="491"/>
    </row>
    <row r="103" spans="1:31" s="6503" customFormat="1" ht="11.25" customHeight="1">
      <c r="A103" s="895"/>
      <c r="B103" s="1547"/>
      <c r="C103" s="1547"/>
      <c r="D103" s="276"/>
      <c r="K103" s="1060"/>
      <c r="L103" s="1547"/>
      <c r="M103" s="1547"/>
      <c r="N103" s="1060"/>
      <c r="O103" s="1060"/>
      <c r="P103" s="1060"/>
      <c r="Q103" s="1060"/>
      <c r="R103" s="1547"/>
      <c r="S103" s="1060"/>
      <c r="T103" s="1060"/>
      <c r="U103" s="469"/>
      <c r="V103" s="1060"/>
      <c r="W103" s="1060"/>
      <c r="X103" s="1060"/>
      <c r="Y103" s="1060"/>
      <c r="Z103" s="1060"/>
      <c r="AA103" s="1543"/>
      <c r="AB103" s="491"/>
      <c r="AC103" s="491"/>
      <c r="AD103" s="491"/>
      <c r="AE103" s="491"/>
    </row>
    <row r="104" spans="1:31" s="6503" customFormat="1" ht="11.25" customHeight="1">
      <c r="A104" s="895"/>
      <c r="B104" s="1547"/>
      <c r="C104" s="1547"/>
      <c r="D104" s="276"/>
      <c r="K104" s="1060"/>
      <c r="L104" s="1547"/>
      <c r="M104" s="1547"/>
      <c r="N104" s="1060"/>
      <c r="O104" s="1060"/>
      <c r="P104" s="1060"/>
      <c r="Q104" s="1060"/>
      <c r="R104" s="1547"/>
      <c r="S104" s="1060"/>
      <c r="T104" s="1060"/>
      <c r="U104" s="469"/>
      <c r="V104" s="1060"/>
      <c r="W104" s="1060"/>
      <c r="X104" s="1060"/>
      <c r="Y104" s="1060"/>
      <c r="Z104" s="1060"/>
      <c r="AA104" s="1543"/>
      <c r="AB104" s="491"/>
      <c r="AC104" s="491"/>
      <c r="AD104" s="491"/>
      <c r="AE104" s="491"/>
    </row>
    <row r="105" spans="1:31" s="6503" customFormat="1" ht="11.25" customHeight="1">
      <c r="A105" s="895"/>
      <c r="B105" s="1547"/>
      <c r="C105" s="1547"/>
      <c r="D105" s="276"/>
      <c r="K105" s="1060"/>
      <c r="L105" s="1547"/>
      <c r="M105" s="1547"/>
      <c r="N105" s="1060"/>
      <c r="O105" s="1060"/>
      <c r="P105" s="1060"/>
      <c r="Q105" s="1060"/>
      <c r="R105" s="1547"/>
      <c r="S105" s="1060"/>
      <c r="T105" s="1060"/>
      <c r="U105" s="469"/>
      <c r="V105" s="1060"/>
      <c r="W105" s="1060"/>
      <c r="X105" s="1060"/>
      <c r="Y105" s="1060"/>
      <c r="Z105" s="1060"/>
      <c r="AA105" s="1543"/>
      <c r="AB105" s="491"/>
      <c r="AC105" s="491"/>
      <c r="AD105" s="491"/>
      <c r="AE105" s="491"/>
    </row>
    <row r="106" spans="1:31" s="6503" customFormat="1" ht="11.25" customHeight="1">
      <c r="A106" s="895"/>
      <c r="B106" s="1547"/>
      <c r="C106" s="1547"/>
      <c r="D106" s="276"/>
      <c r="K106" s="1060"/>
      <c r="L106" s="1547"/>
      <c r="M106" s="1547"/>
      <c r="N106" s="1060"/>
      <c r="O106" s="1060"/>
      <c r="P106" s="1060"/>
      <c r="Q106" s="1060"/>
      <c r="R106" s="1547"/>
      <c r="S106" s="1060"/>
      <c r="T106" s="1060"/>
      <c r="U106" s="469"/>
      <c r="V106" s="1060"/>
      <c r="W106" s="1060"/>
      <c r="X106" s="1060"/>
      <c r="Y106" s="1060"/>
      <c r="Z106" s="1060"/>
      <c r="AA106" s="1543"/>
      <c r="AB106" s="491"/>
      <c r="AC106" s="491"/>
      <c r="AD106" s="491"/>
      <c r="AE106" s="491"/>
    </row>
    <row r="107" spans="1:31" s="6503" customFormat="1" ht="11.25" customHeight="1">
      <c r="A107" s="895"/>
      <c r="B107" s="1547"/>
      <c r="C107" s="1547"/>
      <c r="D107" s="276"/>
      <c r="K107" s="1060"/>
      <c r="L107" s="1547"/>
      <c r="M107" s="1547"/>
      <c r="N107" s="1060"/>
      <c r="O107" s="1060"/>
      <c r="P107" s="1060"/>
      <c r="Q107" s="1060"/>
      <c r="R107" s="1547"/>
      <c r="S107" s="1060"/>
      <c r="T107" s="1060"/>
      <c r="U107" s="469"/>
      <c r="V107" s="1060"/>
      <c r="W107" s="1060"/>
      <c r="X107" s="1060"/>
      <c r="Y107" s="1060"/>
      <c r="Z107" s="1060"/>
      <c r="AA107" s="1543"/>
      <c r="AB107" s="491"/>
      <c r="AC107" s="491"/>
      <c r="AD107" s="491"/>
      <c r="AE107" s="491"/>
    </row>
    <row r="108" spans="1:31" s="6503" customFormat="1" ht="11.25" customHeight="1">
      <c r="A108" s="895"/>
      <c r="B108" s="1547"/>
      <c r="C108" s="1547"/>
      <c r="D108" s="276"/>
      <c r="K108" s="1060"/>
      <c r="L108" s="1547"/>
      <c r="M108" s="1547"/>
      <c r="N108" s="1060"/>
      <c r="O108" s="1060"/>
      <c r="P108" s="1060"/>
      <c r="Q108" s="1060"/>
      <c r="R108" s="1547"/>
      <c r="S108" s="1060"/>
      <c r="T108" s="1060"/>
      <c r="U108" s="469"/>
      <c r="V108" s="1060"/>
      <c r="W108" s="1060"/>
      <c r="X108" s="1060"/>
      <c r="Y108" s="1060"/>
      <c r="Z108" s="1060"/>
      <c r="AA108" s="1543"/>
      <c r="AB108" s="491"/>
      <c r="AC108" s="491"/>
      <c r="AD108" s="491"/>
      <c r="AE108" s="491"/>
    </row>
    <row r="109" spans="1:31" s="6503" customFormat="1" ht="11.25" customHeight="1">
      <c r="A109" s="895"/>
      <c r="B109" s="1547"/>
      <c r="C109" s="1547"/>
      <c r="D109" s="276"/>
      <c r="K109" s="1060"/>
      <c r="L109" s="1547"/>
      <c r="M109" s="1547"/>
      <c r="N109" s="1060"/>
      <c r="O109" s="1060"/>
      <c r="P109" s="1060"/>
      <c r="Q109" s="1060"/>
      <c r="R109" s="1547"/>
      <c r="S109" s="1060"/>
      <c r="T109" s="1060"/>
      <c r="U109" s="469"/>
      <c r="V109" s="1060"/>
      <c r="W109" s="1060"/>
      <c r="X109" s="1060"/>
      <c r="Y109" s="1060"/>
      <c r="Z109" s="1060"/>
      <c r="AA109" s="1543"/>
      <c r="AB109" s="491"/>
      <c r="AC109" s="491"/>
      <c r="AD109" s="491"/>
      <c r="AE109" s="491"/>
    </row>
    <row r="110" spans="1:31" s="6503" customFormat="1" ht="11.25" customHeight="1">
      <c r="A110" s="895"/>
      <c r="B110" s="1547"/>
      <c r="C110" s="1547"/>
      <c r="D110" s="276"/>
      <c r="K110" s="1060"/>
      <c r="L110" s="1547"/>
      <c r="M110" s="1547"/>
      <c r="N110" s="1060"/>
      <c r="O110" s="1060"/>
      <c r="P110" s="1060"/>
      <c r="Q110" s="1060"/>
      <c r="R110" s="1547"/>
      <c r="S110" s="1060"/>
      <c r="T110" s="1060"/>
      <c r="U110" s="469"/>
      <c r="V110" s="1060"/>
      <c r="W110" s="1060"/>
      <c r="X110" s="1060"/>
      <c r="Y110" s="1060"/>
      <c r="Z110" s="1060"/>
      <c r="AA110" s="1543"/>
      <c r="AB110" s="491"/>
      <c r="AC110" s="491"/>
      <c r="AD110" s="491"/>
      <c r="AE110" s="491"/>
    </row>
    <row r="111" spans="1:31" s="6503" customFormat="1" ht="11.25" customHeight="1">
      <c r="A111" s="895"/>
      <c r="B111" s="1547"/>
      <c r="C111" s="1547"/>
      <c r="D111" s="276"/>
      <c r="K111" s="1060"/>
      <c r="L111" s="1547"/>
      <c r="M111" s="1547"/>
      <c r="N111" s="1060"/>
      <c r="O111" s="1060"/>
      <c r="P111" s="1060"/>
      <c r="Q111" s="1060"/>
      <c r="R111" s="1547"/>
      <c r="S111" s="1060"/>
      <c r="T111" s="1060"/>
      <c r="U111" s="469"/>
      <c r="V111" s="1060"/>
      <c r="W111" s="1060"/>
      <c r="X111" s="1060"/>
      <c r="Y111" s="1060"/>
      <c r="Z111" s="1060"/>
      <c r="AA111" s="1543"/>
      <c r="AB111" s="491"/>
      <c r="AC111" s="491"/>
      <c r="AD111" s="491"/>
      <c r="AE111" s="491"/>
    </row>
    <row r="112" spans="1:31" s="6503" customFormat="1" ht="11.25" customHeight="1">
      <c r="A112" s="895"/>
      <c r="B112" s="1547"/>
      <c r="C112" s="1547"/>
      <c r="D112" s="276"/>
      <c r="K112" s="1060"/>
      <c r="L112" s="1547"/>
      <c r="M112" s="1547"/>
      <c r="N112" s="1060"/>
      <c r="O112" s="1060"/>
      <c r="P112" s="1060"/>
      <c r="Q112" s="1060"/>
      <c r="R112" s="1547"/>
      <c r="S112" s="1060"/>
      <c r="T112" s="1060"/>
      <c r="U112" s="469"/>
      <c r="V112" s="1060"/>
      <c r="W112" s="1060"/>
      <c r="X112" s="1060"/>
      <c r="Y112" s="1060"/>
      <c r="Z112" s="1060"/>
      <c r="AA112" s="1543"/>
      <c r="AB112" s="491"/>
      <c r="AC112" s="491"/>
      <c r="AD112" s="491"/>
      <c r="AE112" s="491"/>
    </row>
    <row r="113" spans="1:31" s="6503" customFormat="1" ht="11.25" customHeight="1">
      <c r="A113" s="895"/>
      <c r="B113" s="1547"/>
      <c r="C113" s="1547"/>
      <c r="D113" s="276"/>
      <c r="K113" s="1060"/>
      <c r="L113" s="1547"/>
      <c r="M113" s="1547"/>
      <c r="N113" s="1060"/>
      <c r="O113" s="1060"/>
      <c r="P113" s="1060"/>
      <c r="Q113" s="1060"/>
      <c r="R113" s="1547"/>
      <c r="S113" s="1060"/>
      <c r="T113" s="1060"/>
      <c r="U113" s="469"/>
      <c r="V113" s="1060"/>
      <c r="W113" s="1060"/>
      <c r="X113" s="1060"/>
      <c r="Y113" s="1060"/>
      <c r="Z113" s="1060"/>
      <c r="AA113" s="1543"/>
      <c r="AB113" s="491"/>
      <c r="AC113" s="491"/>
      <c r="AD113" s="491"/>
      <c r="AE113" s="491"/>
    </row>
    <row r="114" spans="1:31" s="6503" customFormat="1" ht="11.25" customHeight="1">
      <c r="A114" s="895"/>
      <c r="B114" s="1547"/>
      <c r="C114" s="1547"/>
      <c r="D114" s="276"/>
      <c r="K114" s="1060"/>
      <c r="L114" s="1547"/>
      <c r="M114" s="1547"/>
      <c r="N114" s="1060"/>
      <c r="O114" s="1060"/>
      <c r="P114" s="1060"/>
      <c r="Q114" s="1060"/>
      <c r="R114" s="1547"/>
      <c r="S114" s="1060"/>
      <c r="T114" s="1060"/>
      <c r="U114" s="469"/>
      <c r="V114" s="1060"/>
      <c r="W114" s="1060"/>
      <c r="X114" s="1060"/>
      <c r="Y114" s="1060"/>
      <c r="Z114" s="1060"/>
      <c r="AA114" s="1543"/>
      <c r="AB114" s="491"/>
      <c r="AC114" s="491"/>
      <c r="AD114" s="491"/>
      <c r="AE114" s="491"/>
    </row>
    <row r="115" spans="1:31" s="6503" customFormat="1" ht="11.25" customHeight="1">
      <c r="A115" s="895"/>
      <c r="B115" s="1547"/>
      <c r="C115" s="1547"/>
      <c r="D115" s="276"/>
      <c r="K115" s="1060"/>
      <c r="L115" s="1547"/>
      <c r="M115" s="1547"/>
      <c r="N115" s="1060"/>
      <c r="O115" s="1060"/>
      <c r="P115" s="1060"/>
      <c r="Q115" s="1060"/>
      <c r="R115" s="1547"/>
      <c r="S115" s="1060"/>
      <c r="T115" s="1060"/>
      <c r="U115" s="469"/>
      <c r="V115" s="1060"/>
      <c r="W115" s="1060"/>
      <c r="X115" s="1060"/>
      <c r="Y115" s="1060"/>
      <c r="Z115" s="1060"/>
      <c r="AA115" s="1543"/>
      <c r="AB115" s="491"/>
      <c r="AC115" s="491"/>
      <c r="AD115" s="491"/>
      <c r="AE115" s="491"/>
    </row>
    <row r="116" spans="1:31" s="6503" customFormat="1" ht="11.25" customHeight="1">
      <c r="A116" s="895"/>
      <c r="B116" s="1547"/>
      <c r="C116" s="1547"/>
      <c r="D116" s="276"/>
      <c r="K116" s="1060"/>
      <c r="L116" s="1547"/>
      <c r="M116" s="1547"/>
      <c r="N116" s="1060"/>
      <c r="O116" s="1060"/>
      <c r="P116" s="1060"/>
      <c r="Q116" s="1060"/>
      <c r="R116" s="1547"/>
      <c r="S116" s="1060"/>
      <c r="T116" s="1060"/>
      <c r="U116" s="469"/>
      <c r="V116" s="1060"/>
      <c r="W116" s="1060"/>
      <c r="X116" s="1060"/>
      <c r="Y116" s="1060"/>
      <c r="Z116" s="1060"/>
      <c r="AA116" s="1543"/>
      <c r="AB116" s="491"/>
      <c r="AC116" s="491"/>
      <c r="AD116" s="491"/>
      <c r="AE116" s="491"/>
    </row>
    <row r="117" spans="1:31" s="6503" customFormat="1" ht="11.25" customHeight="1">
      <c r="A117" s="895"/>
      <c r="B117" s="1547"/>
      <c r="C117" s="1547"/>
      <c r="D117" s="276"/>
      <c r="K117" s="1060"/>
      <c r="L117" s="1547"/>
      <c r="M117" s="1547"/>
      <c r="N117" s="1060"/>
      <c r="O117" s="1060"/>
      <c r="P117" s="1060"/>
      <c r="Q117" s="1060"/>
      <c r="R117" s="1547"/>
      <c r="S117" s="1060"/>
      <c r="T117" s="1060"/>
      <c r="U117" s="469"/>
      <c r="V117" s="1060"/>
      <c r="W117" s="1060"/>
      <c r="X117" s="1060"/>
      <c r="Y117" s="1060"/>
      <c r="Z117" s="1060"/>
      <c r="AA117" s="1543"/>
      <c r="AB117" s="491"/>
      <c r="AC117" s="491"/>
      <c r="AD117" s="491"/>
      <c r="AE117" s="491"/>
    </row>
    <row r="118" spans="1:31" s="6503" customFormat="1" ht="11.25" customHeight="1">
      <c r="A118" s="895"/>
      <c r="B118" s="1547"/>
      <c r="C118" s="1547"/>
      <c r="D118" s="276"/>
      <c r="K118" s="1060"/>
      <c r="L118" s="1547"/>
      <c r="M118" s="1547"/>
      <c r="N118" s="1060"/>
      <c r="O118" s="1060"/>
      <c r="P118" s="1060"/>
      <c r="Q118" s="1060"/>
      <c r="R118" s="1547"/>
      <c r="S118" s="1060"/>
      <c r="T118" s="1060"/>
      <c r="U118" s="469"/>
      <c r="V118" s="1060"/>
      <c r="W118" s="1060"/>
      <c r="X118" s="1060"/>
      <c r="Y118" s="1060"/>
      <c r="Z118" s="1060"/>
      <c r="AA118" s="1543"/>
      <c r="AB118" s="491"/>
      <c r="AC118" s="491"/>
      <c r="AD118" s="491"/>
      <c r="AE118" s="491"/>
    </row>
    <row r="119" spans="1:31" s="6503" customFormat="1" ht="11.25" customHeight="1">
      <c r="A119" s="895"/>
      <c r="B119" s="1547"/>
      <c r="C119" s="1547"/>
      <c r="D119" s="276"/>
      <c r="K119" s="1060"/>
      <c r="L119" s="1547"/>
      <c r="M119" s="1547"/>
      <c r="N119" s="1060"/>
      <c r="O119" s="1060"/>
      <c r="P119" s="1060"/>
      <c r="Q119" s="1060"/>
      <c r="R119" s="1547"/>
      <c r="S119" s="1060"/>
      <c r="T119" s="1060"/>
      <c r="U119" s="469"/>
      <c r="V119" s="1060"/>
      <c r="W119" s="1060"/>
      <c r="X119" s="1060"/>
      <c r="Y119" s="1060"/>
      <c r="Z119" s="1060"/>
      <c r="AA119" s="1543"/>
      <c r="AB119" s="491"/>
      <c r="AC119" s="491"/>
      <c r="AD119" s="491"/>
      <c r="AE119" s="491"/>
    </row>
    <row r="120" spans="1:31" s="6503" customFormat="1" ht="11.25" customHeight="1">
      <c r="A120" s="895"/>
      <c r="B120" s="1547"/>
      <c r="C120" s="1547"/>
      <c r="D120" s="276"/>
      <c r="K120" s="1060"/>
      <c r="L120" s="1547"/>
      <c r="M120" s="1547"/>
      <c r="N120" s="1060"/>
      <c r="O120" s="1060"/>
      <c r="P120" s="1060"/>
      <c r="Q120" s="1060"/>
      <c r="R120" s="1547"/>
      <c r="S120" s="1060"/>
      <c r="T120" s="1060"/>
      <c r="U120" s="469"/>
      <c r="V120" s="1060"/>
      <c r="W120" s="1060"/>
      <c r="X120" s="1060"/>
      <c r="Y120" s="1060"/>
      <c r="Z120" s="1060"/>
      <c r="AA120" s="1543"/>
      <c r="AB120" s="491"/>
      <c r="AC120" s="491"/>
      <c r="AD120" s="491"/>
      <c r="AE120" s="491"/>
    </row>
    <row r="121" spans="1:31" s="6503" customFormat="1" ht="11.25" customHeight="1">
      <c r="A121" s="895"/>
      <c r="B121" s="1547"/>
      <c r="C121" s="1547"/>
      <c r="D121" s="276"/>
      <c r="K121" s="1060"/>
      <c r="L121" s="1547"/>
      <c r="M121" s="1547"/>
      <c r="N121" s="1060"/>
      <c r="O121" s="1060"/>
      <c r="P121" s="1060"/>
      <c r="Q121" s="1060"/>
      <c r="R121" s="1547"/>
      <c r="S121" s="1060"/>
      <c r="T121" s="1060"/>
      <c r="U121" s="469"/>
      <c r="V121" s="1060"/>
      <c r="W121" s="1060"/>
      <c r="X121" s="1060"/>
      <c r="Y121" s="1060"/>
      <c r="Z121" s="1060"/>
      <c r="AA121" s="1543"/>
      <c r="AB121" s="491"/>
      <c r="AC121" s="491"/>
      <c r="AD121" s="491"/>
      <c r="AE121" s="491"/>
    </row>
    <row r="122" spans="1:31" s="6503" customFormat="1" ht="11.25" customHeight="1">
      <c r="A122" s="895"/>
      <c r="B122" s="1547"/>
      <c r="C122" s="1547"/>
      <c r="D122" s="276"/>
      <c r="K122" s="1060"/>
      <c r="L122" s="1547"/>
      <c r="M122" s="1547"/>
      <c r="N122" s="1060"/>
      <c r="O122" s="1060"/>
      <c r="P122" s="1060"/>
      <c r="Q122" s="1060"/>
      <c r="R122" s="1547"/>
      <c r="S122" s="1060"/>
      <c r="T122" s="1060"/>
      <c r="U122" s="469"/>
      <c r="V122" s="1060"/>
      <c r="W122" s="1060"/>
      <c r="X122" s="1060"/>
      <c r="Y122" s="1060"/>
      <c r="Z122" s="1060"/>
      <c r="AA122" s="1543"/>
      <c r="AB122" s="491"/>
      <c r="AC122" s="491"/>
      <c r="AD122" s="491"/>
      <c r="AE122" s="491"/>
    </row>
    <row r="123" spans="1:31" s="6503" customFormat="1" ht="11.25" customHeight="1">
      <c r="A123" s="895"/>
      <c r="B123" s="1547"/>
      <c r="C123" s="1547"/>
      <c r="D123" s="276"/>
      <c r="K123" s="1060"/>
      <c r="L123" s="1547"/>
      <c r="M123" s="1547"/>
      <c r="N123" s="1060"/>
      <c r="O123" s="1060"/>
      <c r="P123" s="1060"/>
      <c r="Q123" s="1060"/>
      <c r="R123" s="1547"/>
      <c r="S123" s="1060"/>
      <c r="T123" s="1060"/>
      <c r="U123" s="469"/>
      <c r="V123" s="1060"/>
      <c r="W123" s="1060"/>
      <c r="X123" s="1060"/>
      <c r="Y123" s="1060"/>
      <c r="Z123" s="1060"/>
      <c r="AA123" s="1543"/>
      <c r="AB123" s="491"/>
      <c r="AC123" s="491"/>
      <c r="AD123" s="491"/>
      <c r="AE123" s="491"/>
    </row>
    <row r="124" spans="1:31" s="6503" customFormat="1" ht="11.25" customHeight="1">
      <c r="A124" s="895"/>
      <c r="B124" s="1547"/>
      <c r="C124" s="1547"/>
      <c r="D124" s="276"/>
      <c r="K124" s="1060"/>
      <c r="L124" s="1547"/>
      <c r="M124" s="1547"/>
      <c r="N124" s="1060"/>
      <c r="O124" s="1060"/>
      <c r="P124" s="1060"/>
      <c r="Q124" s="1060"/>
      <c r="R124" s="1547"/>
      <c r="S124" s="1060"/>
      <c r="T124" s="1060"/>
      <c r="U124" s="469"/>
      <c r="V124" s="1060"/>
      <c r="W124" s="1060"/>
      <c r="X124" s="1060"/>
      <c r="Y124" s="1060"/>
      <c r="Z124" s="1060"/>
      <c r="AA124" s="1543"/>
      <c r="AB124" s="491"/>
      <c r="AC124" s="491"/>
      <c r="AD124" s="491"/>
      <c r="AE124" s="491"/>
    </row>
    <row r="125" spans="1:31" s="6503" customFormat="1" ht="11.25" customHeight="1">
      <c r="A125" s="895"/>
      <c r="B125" s="1547"/>
      <c r="C125" s="1547"/>
      <c r="D125" s="276"/>
      <c r="K125" s="1060"/>
      <c r="L125" s="1547"/>
      <c r="M125" s="1547"/>
      <c r="N125" s="1060"/>
      <c r="O125" s="1060"/>
      <c r="P125" s="1060"/>
      <c r="Q125" s="1060"/>
      <c r="R125" s="1547"/>
      <c r="S125" s="1060"/>
      <c r="T125" s="1060"/>
      <c r="U125" s="469"/>
      <c r="V125" s="1060"/>
      <c r="W125" s="1060"/>
      <c r="X125" s="1060"/>
      <c r="Y125" s="1060"/>
      <c r="Z125" s="1060"/>
      <c r="AA125" s="1543"/>
      <c r="AB125" s="491"/>
      <c r="AC125" s="491"/>
      <c r="AD125" s="491"/>
      <c r="AE125" s="491"/>
    </row>
    <row r="126" spans="1:31" s="6503" customFormat="1" ht="11.25" customHeight="1">
      <c r="A126" s="895"/>
      <c r="B126" s="1547"/>
      <c r="C126" s="1547"/>
      <c r="D126" s="276"/>
      <c r="K126" s="1060"/>
      <c r="L126" s="1547"/>
      <c r="M126" s="1547"/>
      <c r="N126" s="1060"/>
      <c r="O126" s="1060"/>
      <c r="P126" s="1060"/>
      <c r="Q126" s="1060"/>
      <c r="R126" s="1547"/>
      <c r="S126" s="1060"/>
      <c r="T126" s="1060"/>
      <c r="U126" s="469"/>
      <c r="V126" s="1060"/>
      <c r="W126" s="1060"/>
      <c r="X126" s="1060"/>
      <c r="Y126" s="1060"/>
      <c r="Z126" s="1060"/>
      <c r="AA126" s="1543"/>
      <c r="AB126" s="491"/>
      <c r="AC126" s="491"/>
      <c r="AD126" s="491"/>
      <c r="AE126" s="491"/>
    </row>
    <row r="127" spans="1:31" s="6503" customFormat="1" ht="11.25" customHeight="1">
      <c r="A127" s="895"/>
      <c r="B127" s="1547"/>
      <c r="C127" s="1547"/>
      <c r="D127" s="276"/>
      <c r="K127" s="1060"/>
      <c r="L127" s="1547"/>
      <c r="M127" s="1547"/>
      <c r="N127" s="1060"/>
      <c r="O127" s="1060"/>
      <c r="P127" s="1060"/>
      <c r="Q127" s="1060"/>
      <c r="R127" s="1547"/>
      <c r="S127" s="1060"/>
      <c r="T127" s="1060"/>
      <c r="U127" s="469"/>
      <c r="V127" s="1060"/>
      <c r="W127" s="1060"/>
      <c r="X127" s="1060"/>
      <c r="Y127" s="1060"/>
      <c r="Z127" s="1060"/>
      <c r="AA127" s="1543"/>
      <c r="AB127" s="491"/>
      <c r="AC127" s="491"/>
      <c r="AD127" s="491"/>
      <c r="AE127" s="491"/>
    </row>
    <row r="128" spans="1:31" s="6503" customFormat="1" ht="11.25" customHeight="1">
      <c r="A128" s="895"/>
      <c r="B128" s="1547"/>
      <c r="C128" s="1547"/>
      <c r="D128" s="276"/>
      <c r="K128" s="1060"/>
      <c r="L128" s="1547"/>
      <c r="M128" s="1547"/>
      <c r="N128" s="1060"/>
      <c r="O128" s="1060"/>
      <c r="P128" s="1060"/>
      <c r="Q128" s="1060"/>
      <c r="R128" s="1547"/>
      <c r="S128" s="1060"/>
      <c r="T128" s="1060"/>
      <c r="U128" s="469"/>
      <c r="V128" s="1060"/>
      <c r="W128" s="1060"/>
      <c r="X128" s="1060"/>
      <c r="Y128" s="1060"/>
      <c r="Z128" s="1060"/>
      <c r="AA128" s="1543"/>
      <c r="AB128" s="491"/>
      <c r="AC128" s="491"/>
      <c r="AD128" s="491"/>
      <c r="AE128" s="491"/>
    </row>
    <row r="129" spans="1:31" s="6503" customFormat="1" ht="11.25" customHeight="1">
      <c r="A129" s="895"/>
      <c r="B129" s="1547"/>
      <c r="C129" s="1547"/>
      <c r="D129" s="276"/>
      <c r="K129" s="1060"/>
      <c r="L129" s="1547"/>
      <c r="M129" s="1547"/>
      <c r="N129" s="1060"/>
      <c r="O129" s="1060"/>
      <c r="P129" s="1060"/>
      <c r="Q129" s="1060"/>
      <c r="R129" s="1547"/>
      <c r="S129" s="1060"/>
      <c r="T129" s="1060"/>
      <c r="U129" s="469"/>
      <c r="V129" s="1060"/>
      <c r="W129" s="1060"/>
      <c r="X129" s="1060"/>
      <c r="Y129" s="1060"/>
      <c r="Z129" s="1060"/>
      <c r="AA129" s="1543"/>
      <c r="AB129" s="491"/>
      <c r="AC129" s="491"/>
      <c r="AD129" s="491"/>
      <c r="AE129" s="491"/>
    </row>
    <row r="130" spans="1:31" s="6503" customFormat="1" ht="11.25" customHeight="1">
      <c r="A130" s="895"/>
      <c r="B130" s="1547"/>
      <c r="C130" s="1547"/>
      <c r="D130" s="276"/>
      <c r="K130" s="1060"/>
      <c r="L130" s="1547"/>
      <c r="M130" s="1547"/>
      <c r="N130" s="1060"/>
      <c r="O130" s="1060"/>
      <c r="P130" s="1060"/>
      <c r="Q130" s="1060"/>
      <c r="R130" s="1547"/>
      <c r="S130" s="1060"/>
      <c r="T130" s="1060"/>
      <c r="U130" s="469"/>
      <c r="V130" s="1060"/>
      <c r="W130" s="1060"/>
      <c r="X130" s="1060"/>
      <c r="Y130" s="1060"/>
      <c r="Z130" s="1060"/>
      <c r="AA130" s="1543"/>
      <c r="AB130" s="491"/>
      <c r="AC130" s="491"/>
      <c r="AD130" s="491"/>
      <c r="AE130" s="491"/>
    </row>
    <row r="131" spans="1:31" s="6503" customFormat="1" ht="11.25" customHeight="1">
      <c r="A131" s="895"/>
      <c r="B131" s="1547"/>
      <c r="C131" s="1547"/>
      <c r="D131" s="276"/>
      <c r="K131" s="1060"/>
      <c r="L131" s="1547"/>
      <c r="M131" s="1547"/>
      <c r="N131" s="1060"/>
      <c r="O131" s="1060"/>
      <c r="P131" s="1060"/>
      <c r="Q131" s="1060"/>
      <c r="R131" s="1547"/>
      <c r="S131" s="1060"/>
      <c r="T131" s="1060"/>
      <c r="U131" s="469"/>
      <c r="V131" s="1060"/>
      <c r="W131" s="1060"/>
      <c r="X131" s="1060"/>
      <c r="Y131" s="1060"/>
      <c r="Z131" s="1060"/>
      <c r="AA131" s="1543"/>
      <c r="AB131" s="491"/>
      <c r="AC131" s="491"/>
      <c r="AD131" s="491"/>
      <c r="AE131" s="491"/>
    </row>
    <row r="132" spans="1:31" s="6503" customFormat="1" ht="11.25" customHeight="1">
      <c r="A132" s="895"/>
      <c r="B132" s="1547"/>
      <c r="C132" s="1547"/>
      <c r="D132" s="276"/>
      <c r="K132" s="1060"/>
      <c r="L132" s="1547"/>
      <c r="M132" s="1547"/>
      <c r="N132" s="1060"/>
      <c r="O132" s="1060"/>
      <c r="P132" s="1060"/>
      <c r="Q132" s="1060"/>
      <c r="R132" s="1547"/>
      <c r="S132" s="1060"/>
      <c r="T132" s="1060"/>
      <c r="U132" s="469"/>
      <c r="V132" s="1060"/>
      <c r="W132" s="1060"/>
      <c r="X132" s="1060"/>
      <c r="Y132" s="1060"/>
      <c r="Z132" s="1060"/>
      <c r="AA132" s="1543"/>
      <c r="AB132" s="491"/>
      <c r="AC132" s="491"/>
      <c r="AD132" s="491"/>
      <c r="AE132" s="491"/>
    </row>
    <row r="133" spans="1:31" s="6503" customFormat="1" ht="11.25" customHeight="1">
      <c r="A133" s="895"/>
      <c r="B133" s="1547"/>
      <c r="C133" s="1547"/>
      <c r="D133" s="276"/>
      <c r="K133" s="1060"/>
      <c r="L133" s="1547"/>
      <c r="M133" s="1547"/>
      <c r="N133" s="1060"/>
      <c r="O133" s="1060"/>
      <c r="P133" s="1060"/>
      <c r="Q133" s="1060"/>
      <c r="R133" s="1547"/>
      <c r="S133" s="1060"/>
      <c r="T133" s="1060"/>
      <c r="U133" s="469"/>
      <c r="V133" s="1060"/>
      <c r="W133" s="1060"/>
      <c r="X133" s="1060"/>
      <c r="Y133" s="1060"/>
      <c r="Z133" s="1060"/>
      <c r="AA133" s="1543"/>
      <c r="AB133" s="491"/>
      <c r="AC133" s="491"/>
      <c r="AD133" s="491"/>
      <c r="AE133" s="491"/>
    </row>
    <row r="134" spans="1:31" s="6503" customFormat="1" ht="11.25" customHeight="1">
      <c r="A134" s="895"/>
      <c r="B134" s="1547"/>
      <c r="C134" s="1547"/>
      <c r="D134" s="276"/>
      <c r="K134" s="1060"/>
      <c r="L134" s="1547"/>
      <c r="M134" s="1547"/>
      <c r="N134" s="1060"/>
      <c r="O134" s="1060"/>
      <c r="P134" s="1060"/>
      <c r="Q134" s="1060"/>
      <c r="R134" s="1547"/>
      <c r="S134" s="1060"/>
      <c r="T134" s="1060"/>
      <c r="U134" s="469"/>
      <c r="V134" s="1060"/>
      <c r="W134" s="1060"/>
      <c r="X134" s="1060"/>
      <c r="Y134" s="1060"/>
      <c r="Z134" s="1060"/>
      <c r="AA134" s="1543"/>
      <c r="AB134" s="491"/>
      <c r="AC134" s="491"/>
      <c r="AD134" s="491"/>
      <c r="AE134" s="491"/>
    </row>
    <row r="135" spans="1:31" s="6503" customFormat="1" ht="11.25" customHeight="1">
      <c r="A135" s="895"/>
      <c r="B135" s="1547"/>
      <c r="C135" s="1547"/>
      <c r="D135" s="276"/>
      <c r="K135" s="1060"/>
      <c r="L135" s="1547"/>
      <c r="M135" s="1547"/>
      <c r="N135" s="1060"/>
      <c r="O135" s="1060"/>
      <c r="P135" s="1060"/>
      <c r="Q135" s="1060"/>
      <c r="R135" s="1547"/>
      <c r="S135" s="1060"/>
      <c r="T135" s="1060"/>
      <c r="U135" s="469"/>
      <c r="V135" s="1060"/>
      <c r="W135" s="1060"/>
      <c r="X135" s="1060"/>
      <c r="Y135" s="1060"/>
      <c r="Z135" s="1060"/>
      <c r="AA135" s="1543"/>
      <c r="AB135" s="491"/>
      <c r="AC135" s="491"/>
      <c r="AD135" s="491"/>
      <c r="AE135" s="491"/>
    </row>
    <row r="136" spans="1:31" s="6503" customFormat="1" ht="11.25" customHeight="1">
      <c r="A136" s="895"/>
      <c r="B136" s="1547"/>
      <c r="C136" s="1547"/>
      <c r="D136" s="276"/>
      <c r="K136" s="1060"/>
      <c r="L136" s="1547"/>
      <c r="M136" s="1547"/>
      <c r="N136" s="1060"/>
      <c r="O136" s="1060"/>
      <c r="P136" s="1060"/>
      <c r="Q136" s="1060"/>
      <c r="R136" s="1547"/>
      <c r="S136" s="1060"/>
      <c r="T136" s="1060"/>
      <c r="U136" s="469"/>
      <c r="V136" s="1060"/>
      <c r="W136" s="1060"/>
      <c r="X136" s="1060"/>
      <c r="Y136" s="1060"/>
      <c r="Z136" s="1060"/>
      <c r="AA136" s="1543"/>
      <c r="AB136" s="491"/>
      <c r="AC136" s="491"/>
      <c r="AD136" s="491"/>
      <c r="AE136" s="491"/>
    </row>
    <row r="137" spans="1:31" s="6503" customFormat="1" ht="11.25" customHeight="1">
      <c r="A137" s="895"/>
      <c r="B137" s="1547"/>
      <c r="C137" s="1547"/>
      <c r="D137" s="276"/>
      <c r="K137" s="1060"/>
      <c r="L137" s="1547"/>
      <c r="M137" s="1547"/>
      <c r="N137" s="1060"/>
      <c r="O137" s="1060"/>
      <c r="P137" s="1060"/>
      <c r="Q137" s="1060"/>
      <c r="R137" s="1547"/>
      <c r="S137" s="1060"/>
      <c r="T137" s="1060"/>
      <c r="U137" s="469"/>
      <c r="V137" s="1060"/>
      <c r="W137" s="1060"/>
      <c r="X137" s="1060"/>
      <c r="Y137" s="1060"/>
      <c r="Z137" s="1060"/>
      <c r="AA137" s="1543"/>
      <c r="AB137" s="491"/>
      <c r="AC137" s="491"/>
      <c r="AD137" s="491"/>
      <c r="AE137" s="491"/>
    </row>
    <row r="138" spans="1:31" s="6503" customFormat="1" ht="11.25" customHeight="1">
      <c r="A138" s="895"/>
      <c r="B138" s="1547"/>
      <c r="C138" s="1547"/>
      <c r="D138" s="276"/>
      <c r="K138" s="1060"/>
      <c r="L138" s="1547"/>
      <c r="M138" s="1547"/>
      <c r="N138" s="1060"/>
      <c r="O138" s="1060"/>
      <c r="P138" s="1060"/>
      <c r="Q138" s="1060"/>
      <c r="R138" s="1547"/>
      <c r="S138" s="1060"/>
      <c r="T138" s="1060"/>
      <c r="U138" s="469"/>
      <c r="V138" s="1060"/>
      <c r="W138" s="1060"/>
      <c r="X138" s="1060"/>
      <c r="Y138" s="1060"/>
      <c r="Z138" s="1060"/>
      <c r="AA138" s="1543"/>
      <c r="AB138" s="491"/>
      <c r="AC138" s="491"/>
      <c r="AD138" s="491"/>
      <c r="AE138" s="491"/>
    </row>
    <row r="139" spans="1:31" s="6503" customFormat="1" ht="11.25" customHeight="1">
      <c r="A139" s="895"/>
      <c r="B139" s="1547"/>
      <c r="C139" s="1547"/>
      <c r="D139" s="276"/>
      <c r="K139" s="1060"/>
      <c r="L139" s="1547"/>
      <c r="M139" s="1547"/>
      <c r="N139" s="1060"/>
      <c r="O139" s="1060"/>
      <c r="P139" s="1060"/>
      <c r="Q139" s="1060"/>
      <c r="R139" s="1547"/>
      <c r="S139" s="1060"/>
      <c r="T139" s="1060"/>
      <c r="U139" s="469"/>
      <c r="V139" s="1060"/>
      <c r="W139" s="1060"/>
      <c r="X139" s="1060"/>
      <c r="Y139" s="1060"/>
      <c r="Z139" s="1060"/>
      <c r="AA139" s="1543"/>
      <c r="AB139" s="491"/>
      <c r="AC139" s="491"/>
      <c r="AD139" s="491"/>
      <c r="AE139" s="491"/>
    </row>
    <row r="140" spans="1:31" s="6503" customFormat="1" ht="11.25" customHeight="1">
      <c r="A140" s="895"/>
      <c r="B140" s="1547"/>
      <c r="C140" s="1547"/>
      <c r="D140" s="276"/>
      <c r="K140" s="1060"/>
      <c r="L140" s="1547"/>
      <c r="M140" s="1547"/>
      <c r="N140" s="1060"/>
      <c r="O140" s="1060"/>
      <c r="P140" s="1060"/>
      <c r="Q140" s="1060"/>
      <c r="R140" s="1547"/>
      <c r="S140" s="1060"/>
      <c r="T140" s="1060"/>
      <c r="U140" s="469"/>
      <c r="V140" s="1060"/>
      <c r="W140" s="1060"/>
      <c r="X140" s="1060"/>
      <c r="Y140" s="1060"/>
      <c r="Z140" s="1060"/>
      <c r="AA140" s="1543"/>
      <c r="AB140" s="491"/>
      <c r="AC140" s="491"/>
      <c r="AD140" s="491"/>
      <c r="AE140" s="491"/>
    </row>
    <row r="141" spans="1:31" s="6503" customFormat="1" ht="11.25" customHeight="1">
      <c r="A141" s="895"/>
      <c r="B141" s="1547"/>
      <c r="C141" s="1547"/>
      <c r="D141" s="276"/>
      <c r="K141" s="1060"/>
      <c r="L141" s="1547"/>
      <c r="M141" s="1547"/>
      <c r="N141" s="1060"/>
      <c r="O141" s="1060"/>
      <c r="P141" s="1060"/>
      <c r="Q141" s="1060"/>
      <c r="R141" s="1547"/>
      <c r="S141" s="1060"/>
      <c r="T141" s="1060"/>
      <c r="U141" s="469"/>
      <c r="V141" s="1060"/>
      <c r="W141" s="1060"/>
      <c r="X141" s="1060"/>
      <c r="Y141" s="1060"/>
      <c r="Z141" s="1060"/>
      <c r="AA141" s="1543"/>
      <c r="AB141" s="491"/>
      <c r="AC141" s="491"/>
      <c r="AD141" s="491"/>
      <c r="AE141" s="491"/>
    </row>
    <row r="142" spans="1:31" s="6503" customFormat="1" ht="11.25" customHeight="1">
      <c r="A142" s="895"/>
      <c r="B142" s="1547"/>
      <c r="C142" s="1547"/>
      <c r="D142" s="276"/>
      <c r="K142" s="1060"/>
      <c r="L142" s="1547"/>
      <c r="M142" s="1547"/>
      <c r="N142" s="1060"/>
      <c r="O142" s="1060"/>
      <c r="P142" s="1060"/>
      <c r="Q142" s="1060"/>
      <c r="R142" s="1547"/>
      <c r="S142" s="1060"/>
      <c r="T142" s="1060"/>
      <c r="U142" s="469"/>
      <c r="V142" s="1060"/>
      <c r="W142" s="1060"/>
      <c r="X142" s="1060"/>
      <c r="Y142" s="1060"/>
      <c r="Z142" s="1060"/>
      <c r="AA142" s="1543"/>
      <c r="AB142" s="491"/>
      <c r="AC142" s="491"/>
      <c r="AD142" s="491"/>
      <c r="AE142" s="491"/>
    </row>
    <row r="143" spans="1:31" s="6503" customFormat="1" ht="11.25" customHeight="1">
      <c r="A143" s="895"/>
      <c r="B143" s="1547"/>
      <c r="C143" s="1547"/>
      <c r="D143" s="276"/>
      <c r="K143" s="1060"/>
      <c r="L143" s="1547"/>
      <c r="M143" s="1547"/>
      <c r="N143" s="1060"/>
      <c r="O143" s="1060"/>
      <c r="P143" s="1060"/>
      <c r="Q143" s="1060"/>
      <c r="R143" s="1547"/>
      <c r="S143" s="1060"/>
      <c r="T143" s="1060"/>
      <c r="U143" s="469"/>
      <c r="V143" s="1060"/>
      <c r="W143" s="1060"/>
      <c r="X143" s="1060"/>
      <c r="Y143" s="1060"/>
      <c r="Z143" s="1060"/>
      <c r="AA143" s="1543"/>
      <c r="AB143" s="491"/>
      <c r="AC143" s="491"/>
      <c r="AD143" s="491"/>
      <c r="AE143" s="491"/>
    </row>
    <row r="144" spans="1:31" s="6503" customFormat="1" ht="11.25" customHeight="1">
      <c r="A144" s="895"/>
      <c r="B144" s="1547"/>
      <c r="C144" s="1547"/>
      <c r="D144" s="276"/>
      <c r="K144" s="1060"/>
      <c r="L144" s="1547"/>
      <c r="M144" s="1547"/>
      <c r="N144" s="1060"/>
      <c r="O144" s="1060"/>
      <c r="P144" s="1060"/>
      <c r="Q144" s="1060"/>
      <c r="R144" s="1547"/>
      <c r="S144" s="1060"/>
      <c r="T144" s="1060"/>
      <c r="U144" s="469"/>
      <c r="V144" s="1060"/>
      <c r="W144" s="1060"/>
      <c r="X144" s="1060"/>
      <c r="Y144" s="1060"/>
      <c r="Z144" s="1060"/>
      <c r="AA144" s="1543"/>
      <c r="AB144" s="491"/>
      <c r="AC144" s="491"/>
      <c r="AD144" s="491"/>
      <c r="AE144" s="491"/>
    </row>
    <row r="145" spans="1:31" s="6503" customFormat="1" ht="11.25" customHeight="1">
      <c r="A145" s="895"/>
      <c r="B145" s="1547"/>
      <c r="C145" s="1547"/>
      <c r="D145" s="276"/>
      <c r="K145" s="1060"/>
      <c r="L145" s="1547"/>
      <c r="M145" s="1547"/>
      <c r="N145" s="1060"/>
      <c r="O145" s="1060"/>
      <c r="P145" s="1060"/>
      <c r="Q145" s="1060"/>
      <c r="R145" s="1547"/>
      <c r="S145" s="1060"/>
      <c r="T145" s="1060"/>
      <c r="U145" s="469"/>
      <c r="V145" s="1060"/>
      <c r="W145" s="1060"/>
      <c r="X145" s="1060"/>
      <c r="Y145" s="1060"/>
      <c r="Z145" s="1060"/>
      <c r="AA145" s="1543"/>
      <c r="AB145" s="491"/>
      <c r="AC145" s="491"/>
      <c r="AD145" s="491"/>
      <c r="AE145" s="491"/>
    </row>
    <row r="146" spans="1:31" s="6503" customFormat="1" ht="11.25" customHeight="1">
      <c r="A146" s="895"/>
      <c r="B146" s="1547"/>
      <c r="C146" s="1547"/>
      <c r="D146" s="276"/>
      <c r="K146" s="1060"/>
      <c r="L146" s="1547"/>
      <c r="M146" s="1547"/>
      <c r="N146" s="1060"/>
      <c r="O146" s="1060"/>
      <c r="P146" s="1060"/>
      <c r="Q146" s="1060"/>
      <c r="R146" s="1547"/>
      <c r="S146" s="1060"/>
      <c r="T146" s="1060"/>
      <c r="U146" s="469"/>
      <c r="V146" s="1060"/>
      <c r="W146" s="1060"/>
      <c r="X146" s="1060"/>
      <c r="Y146" s="1060"/>
      <c r="Z146" s="1060"/>
      <c r="AA146" s="1543"/>
      <c r="AB146" s="491"/>
      <c r="AC146" s="491"/>
      <c r="AD146" s="491"/>
      <c r="AE146" s="491"/>
    </row>
    <row r="147" spans="1:31" s="6503" customFormat="1" ht="11.25" customHeight="1">
      <c r="A147" s="895"/>
      <c r="B147" s="1547"/>
      <c r="C147" s="1547"/>
      <c r="D147" s="276"/>
      <c r="K147" s="1060"/>
      <c r="L147" s="1547"/>
      <c r="M147" s="1547"/>
      <c r="N147" s="1060"/>
      <c r="O147" s="1060"/>
      <c r="P147" s="1060"/>
      <c r="Q147" s="1060"/>
      <c r="R147" s="1547"/>
      <c r="S147" s="1060"/>
      <c r="T147" s="1060"/>
      <c r="U147" s="469"/>
      <c r="V147" s="1060"/>
      <c r="W147" s="1060"/>
      <c r="X147" s="1060"/>
      <c r="Y147" s="1060"/>
      <c r="Z147" s="1060"/>
      <c r="AA147" s="1543"/>
      <c r="AB147" s="491"/>
      <c r="AC147" s="491"/>
      <c r="AD147" s="491"/>
      <c r="AE147" s="491"/>
    </row>
    <row r="148" spans="1:31" s="6503" customFormat="1" ht="11.25" customHeight="1">
      <c r="A148" s="895"/>
      <c r="B148" s="1547"/>
      <c r="C148" s="1547"/>
      <c r="D148" s="276"/>
      <c r="K148" s="1060"/>
      <c r="L148" s="1547"/>
      <c r="M148" s="1547"/>
      <c r="N148" s="1060"/>
      <c r="O148" s="1060"/>
      <c r="P148" s="1060"/>
      <c r="Q148" s="1060"/>
      <c r="R148" s="1547"/>
      <c r="S148" s="1060"/>
      <c r="T148" s="1060"/>
      <c r="U148" s="469"/>
      <c r="V148" s="1060"/>
      <c r="W148" s="1060"/>
      <c r="X148" s="1060"/>
      <c r="Y148" s="1060"/>
      <c r="Z148" s="1060"/>
      <c r="AA148" s="1543"/>
      <c r="AB148" s="491"/>
      <c r="AC148" s="491"/>
      <c r="AD148" s="491"/>
      <c r="AE148" s="491"/>
    </row>
    <row r="149" spans="1:31" s="6503" customFormat="1" ht="11.25" customHeight="1">
      <c r="A149" s="895"/>
      <c r="B149" s="1547"/>
      <c r="C149" s="1547"/>
      <c r="D149" s="276"/>
      <c r="K149" s="1060"/>
      <c r="L149" s="1547"/>
      <c r="M149" s="1547"/>
      <c r="N149" s="1060"/>
      <c r="O149" s="1060"/>
      <c r="P149" s="1060"/>
      <c r="Q149" s="1060"/>
      <c r="R149" s="1547"/>
      <c r="S149" s="1060"/>
      <c r="T149" s="1060"/>
      <c r="U149" s="469"/>
      <c r="V149" s="1060"/>
      <c r="W149" s="1060"/>
      <c r="X149" s="1060"/>
      <c r="Y149" s="1060"/>
      <c r="Z149" s="1060"/>
      <c r="AA149" s="1543"/>
      <c r="AB149" s="491"/>
      <c r="AC149" s="491"/>
      <c r="AD149" s="491"/>
      <c r="AE149" s="491"/>
    </row>
    <row r="150" spans="1:31" s="6503" customFormat="1" ht="11.25" customHeight="1">
      <c r="A150" s="895"/>
      <c r="B150" s="1547"/>
      <c r="C150" s="1547"/>
      <c r="D150" s="276"/>
      <c r="K150" s="1060"/>
      <c r="L150" s="1547"/>
      <c r="M150" s="1547"/>
      <c r="N150" s="1060"/>
      <c r="O150" s="1060"/>
      <c r="P150" s="1060"/>
      <c r="Q150" s="1060"/>
      <c r="R150" s="1547"/>
      <c r="S150" s="1060"/>
      <c r="T150" s="1060"/>
      <c r="U150" s="469"/>
      <c r="V150" s="1060"/>
      <c r="W150" s="1060"/>
      <c r="X150" s="1060"/>
      <c r="Y150" s="1060"/>
      <c r="Z150" s="1060"/>
      <c r="AA150" s="1543"/>
      <c r="AB150" s="491"/>
      <c r="AC150" s="491"/>
      <c r="AD150" s="491"/>
      <c r="AE150" s="491"/>
    </row>
    <row r="151" spans="1:31" s="6503" customFormat="1" ht="11.25" customHeight="1">
      <c r="A151" s="895"/>
      <c r="B151" s="1547"/>
      <c r="C151" s="1547"/>
      <c r="D151" s="276"/>
      <c r="K151" s="1060"/>
      <c r="L151" s="1547"/>
      <c r="M151" s="1547"/>
      <c r="N151" s="1060"/>
      <c r="O151" s="1060"/>
      <c r="P151" s="1060"/>
      <c r="Q151" s="1060"/>
      <c r="R151" s="1547"/>
      <c r="S151" s="1060"/>
      <c r="T151" s="1060"/>
      <c r="U151" s="469"/>
      <c r="V151" s="1060"/>
      <c r="W151" s="1060"/>
      <c r="X151" s="1060"/>
      <c r="Y151" s="1060"/>
      <c r="Z151" s="1060"/>
      <c r="AA151" s="1543"/>
      <c r="AB151" s="491"/>
      <c r="AC151" s="491"/>
      <c r="AD151" s="491"/>
      <c r="AE151" s="491"/>
    </row>
    <row r="152" spans="1:31" s="6503" customFormat="1" ht="11.25" customHeight="1">
      <c r="A152" s="895"/>
      <c r="B152" s="1547"/>
      <c r="C152" s="1547"/>
      <c r="D152" s="276"/>
      <c r="K152" s="1060"/>
      <c r="L152" s="1547"/>
      <c r="M152" s="1547"/>
      <c r="N152" s="1060"/>
      <c r="O152" s="1060"/>
      <c r="P152" s="1060"/>
      <c r="Q152" s="1060"/>
      <c r="R152" s="1547"/>
      <c r="S152" s="1060"/>
      <c r="T152" s="1060"/>
      <c r="U152" s="469"/>
      <c r="V152" s="1060"/>
      <c r="W152" s="1060"/>
      <c r="X152" s="1060"/>
      <c r="Y152" s="1060"/>
      <c r="Z152" s="1060"/>
      <c r="AA152" s="1543"/>
      <c r="AB152" s="491"/>
      <c r="AC152" s="491"/>
      <c r="AD152" s="491"/>
      <c r="AE152" s="491"/>
    </row>
    <row r="153" spans="1:31" s="6503" customFormat="1" ht="11.25" customHeight="1">
      <c r="A153" s="895"/>
      <c r="B153" s="1547"/>
      <c r="C153" s="1547"/>
      <c r="D153" s="276"/>
      <c r="K153" s="1060"/>
      <c r="L153" s="1547"/>
      <c r="M153" s="1547"/>
      <c r="N153" s="1060"/>
      <c r="O153" s="1060"/>
      <c r="P153" s="1060"/>
      <c r="Q153" s="1060"/>
      <c r="R153" s="1547"/>
      <c r="S153" s="1060"/>
      <c r="T153" s="1060"/>
      <c r="U153" s="469"/>
      <c r="V153" s="1060"/>
      <c r="W153" s="1060"/>
      <c r="X153" s="1060"/>
      <c r="Y153" s="1060"/>
      <c r="Z153" s="1060"/>
      <c r="AA153" s="1543"/>
      <c r="AB153" s="491"/>
      <c r="AC153" s="491"/>
      <c r="AD153" s="491"/>
      <c r="AE153" s="491"/>
    </row>
    <row r="154" spans="1:31" s="6503" customFormat="1" ht="11.25" customHeight="1">
      <c r="A154" s="895"/>
      <c r="B154" s="1547"/>
      <c r="C154" s="1547"/>
      <c r="D154" s="276"/>
      <c r="K154" s="1060"/>
      <c r="L154" s="1547"/>
      <c r="M154" s="1547"/>
      <c r="N154" s="1060"/>
      <c r="O154" s="1060"/>
      <c r="P154" s="1060"/>
      <c r="Q154" s="1060"/>
      <c r="R154" s="1547"/>
      <c r="S154" s="1060"/>
      <c r="T154" s="1060"/>
      <c r="U154" s="469"/>
      <c r="V154" s="1060"/>
      <c r="W154" s="1060"/>
      <c r="X154" s="1060"/>
      <c r="Y154" s="1060"/>
      <c r="Z154" s="1060"/>
      <c r="AA154" s="1543"/>
      <c r="AB154" s="491"/>
      <c r="AC154" s="491"/>
      <c r="AD154" s="491"/>
      <c r="AE154" s="491"/>
    </row>
    <row r="155" spans="1:31" s="6503" customFormat="1" ht="11.25" customHeight="1">
      <c r="A155" s="895"/>
      <c r="B155" s="1547"/>
      <c r="C155" s="1547"/>
      <c r="D155" s="276"/>
      <c r="K155" s="1060"/>
      <c r="L155" s="1547"/>
      <c r="M155" s="1547"/>
      <c r="N155" s="1060"/>
      <c r="O155" s="1060"/>
      <c r="P155" s="1060"/>
      <c r="Q155" s="1060"/>
      <c r="R155" s="1547"/>
      <c r="S155" s="1060"/>
      <c r="T155" s="1060"/>
      <c r="U155" s="469"/>
      <c r="V155" s="1060"/>
      <c r="W155" s="1060"/>
      <c r="X155" s="1060"/>
      <c r="Y155" s="1060"/>
      <c r="Z155" s="1060"/>
      <c r="AA155" s="1543"/>
      <c r="AB155" s="491"/>
      <c r="AC155" s="491"/>
      <c r="AD155" s="491"/>
      <c r="AE155" s="491"/>
    </row>
    <row r="156" spans="1:31" s="6503" customFormat="1" ht="11.25" customHeight="1">
      <c r="A156" s="895"/>
      <c r="B156" s="1547"/>
      <c r="C156" s="1547"/>
      <c r="D156" s="276"/>
      <c r="K156" s="1060"/>
      <c r="L156" s="1547"/>
      <c r="M156" s="1547"/>
      <c r="N156" s="1060"/>
      <c r="O156" s="1060"/>
      <c r="P156" s="1060"/>
      <c r="Q156" s="1060"/>
      <c r="R156" s="1547"/>
      <c r="S156" s="1060"/>
      <c r="T156" s="1060"/>
      <c r="U156" s="469"/>
      <c r="V156" s="1060"/>
      <c r="W156" s="1060"/>
      <c r="X156" s="1060"/>
      <c r="Y156" s="1060"/>
      <c r="Z156" s="1060"/>
      <c r="AA156" s="1543"/>
      <c r="AB156" s="491"/>
      <c r="AC156" s="491"/>
      <c r="AD156" s="491"/>
      <c r="AE156" s="491"/>
    </row>
    <row r="157" spans="1:31" s="6503" customFormat="1" ht="11.25" customHeight="1">
      <c r="A157" s="895"/>
      <c r="B157" s="1547"/>
      <c r="C157" s="1547"/>
      <c r="D157" s="276"/>
      <c r="K157" s="1060"/>
      <c r="L157" s="1547"/>
      <c r="M157" s="1547"/>
      <c r="N157" s="1060"/>
      <c r="O157" s="1060"/>
      <c r="P157" s="1060"/>
      <c r="Q157" s="1060"/>
      <c r="R157" s="1547"/>
      <c r="S157" s="1060"/>
      <c r="T157" s="1060"/>
      <c r="U157" s="469"/>
      <c r="V157" s="1060"/>
      <c r="W157" s="1060"/>
      <c r="X157" s="1060"/>
      <c r="Y157" s="1060"/>
      <c r="Z157" s="1060"/>
      <c r="AA157" s="1543"/>
      <c r="AB157" s="491"/>
      <c r="AC157" s="491"/>
      <c r="AD157" s="491"/>
      <c r="AE157" s="491"/>
    </row>
    <row r="158" spans="1:31" s="6503" customFormat="1" ht="11.25" customHeight="1">
      <c r="A158" s="895"/>
      <c r="B158" s="1547"/>
      <c r="C158" s="1547"/>
      <c r="D158" s="276"/>
      <c r="K158" s="1060"/>
      <c r="L158" s="1547"/>
      <c r="M158" s="1547"/>
      <c r="N158" s="1060"/>
      <c r="O158" s="1060"/>
      <c r="P158" s="1060"/>
      <c r="Q158" s="1060"/>
      <c r="R158" s="1547"/>
      <c r="S158" s="1060"/>
      <c r="T158" s="1060"/>
      <c r="U158" s="469"/>
      <c r="V158" s="1060"/>
      <c r="W158" s="1060"/>
      <c r="X158" s="1060"/>
      <c r="Y158" s="1060"/>
      <c r="Z158" s="1060"/>
      <c r="AA158" s="1543"/>
      <c r="AB158" s="491"/>
      <c r="AC158" s="491"/>
      <c r="AD158" s="491"/>
      <c r="AE158" s="491"/>
    </row>
    <row r="159" spans="1:31" s="6503" customFormat="1" ht="11.25" customHeight="1">
      <c r="A159" s="895"/>
      <c r="B159" s="1547"/>
      <c r="C159" s="1547"/>
      <c r="D159" s="276"/>
      <c r="K159" s="1060"/>
      <c r="L159" s="1547"/>
      <c r="M159" s="1547"/>
      <c r="N159" s="1060"/>
      <c r="O159" s="1060"/>
      <c r="P159" s="1060"/>
      <c r="Q159" s="1060"/>
      <c r="R159" s="1547"/>
      <c r="S159" s="1060"/>
      <c r="T159" s="1060"/>
      <c r="U159" s="469"/>
      <c r="V159" s="1060"/>
      <c r="W159" s="1060"/>
      <c r="X159" s="1060"/>
      <c r="Y159" s="1060"/>
      <c r="Z159" s="1060"/>
      <c r="AA159" s="1543"/>
      <c r="AB159" s="491"/>
      <c r="AC159" s="491"/>
      <c r="AD159" s="491"/>
      <c r="AE159" s="491"/>
    </row>
    <row r="160" spans="1:31" s="6503" customFormat="1" ht="11.25" customHeight="1">
      <c r="A160" s="895"/>
      <c r="B160" s="1547"/>
      <c r="C160" s="1547"/>
      <c r="D160" s="276"/>
      <c r="K160" s="1060"/>
      <c r="L160" s="1547"/>
      <c r="M160" s="1547"/>
      <c r="N160" s="1060"/>
      <c r="O160" s="1060"/>
      <c r="P160" s="1060"/>
      <c r="Q160" s="1060"/>
      <c r="R160" s="1547"/>
      <c r="S160" s="1060"/>
      <c r="T160" s="1060"/>
      <c r="U160" s="469"/>
      <c r="V160" s="1060"/>
      <c r="W160" s="1060"/>
      <c r="X160" s="1060"/>
      <c r="Y160" s="1060"/>
      <c r="Z160" s="1060"/>
      <c r="AA160" s="1543"/>
      <c r="AB160" s="491"/>
      <c r="AC160" s="491"/>
      <c r="AD160" s="491"/>
      <c r="AE160" s="491"/>
    </row>
    <row r="161" spans="1:31" s="6503" customFormat="1" ht="11.25" customHeight="1">
      <c r="A161" s="895"/>
      <c r="B161" s="1547"/>
      <c r="C161" s="1547"/>
      <c r="D161" s="276"/>
      <c r="K161" s="1060"/>
      <c r="L161" s="1547"/>
      <c r="M161" s="1547"/>
      <c r="N161" s="1060"/>
      <c r="O161" s="1060"/>
      <c r="P161" s="1060"/>
      <c r="Q161" s="1060"/>
      <c r="R161" s="1547"/>
      <c r="S161" s="1060"/>
      <c r="T161" s="1060"/>
      <c r="U161" s="469"/>
      <c r="V161" s="1060"/>
      <c r="W161" s="1060"/>
      <c r="X161" s="1060"/>
      <c r="Y161" s="1060"/>
      <c r="Z161" s="1060"/>
      <c r="AA161" s="1543"/>
      <c r="AB161" s="491"/>
      <c r="AC161" s="491"/>
      <c r="AD161" s="491"/>
      <c r="AE161" s="491"/>
    </row>
    <row r="162" spans="1:31" s="6503" customFormat="1" ht="11.25" customHeight="1">
      <c r="A162" s="895"/>
      <c r="B162" s="1547"/>
      <c r="C162" s="1547"/>
      <c r="D162" s="276"/>
      <c r="K162" s="1060"/>
      <c r="L162" s="1547"/>
      <c r="M162" s="1547"/>
      <c r="N162" s="1060"/>
      <c r="O162" s="1060"/>
      <c r="P162" s="1060"/>
      <c r="Q162" s="1060"/>
      <c r="R162" s="1547"/>
      <c r="S162" s="1060"/>
      <c r="T162" s="1060"/>
      <c r="U162" s="469"/>
      <c r="V162" s="1060"/>
      <c r="W162" s="1060"/>
      <c r="X162" s="1060"/>
      <c r="Y162" s="1060"/>
      <c r="Z162" s="1060"/>
      <c r="AA162" s="1543"/>
      <c r="AB162" s="491"/>
      <c r="AC162" s="491"/>
      <c r="AD162" s="491"/>
      <c r="AE162" s="491"/>
    </row>
    <row r="163" spans="1:31" s="6503" customFormat="1" ht="11.25" customHeight="1">
      <c r="A163" s="895"/>
      <c r="B163" s="1547"/>
      <c r="C163" s="1547"/>
      <c r="D163" s="276"/>
      <c r="K163" s="1060"/>
      <c r="L163" s="1547"/>
      <c r="M163" s="1547"/>
      <c r="N163" s="1060"/>
      <c r="O163" s="1060"/>
      <c r="P163" s="1060"/>
      <c r="Q163" s="1060"/>
      <c r="R163" s="1547"/>
      <c r="S163" s="1060"/>
      <c r="T163" s="1060"/>
      <c r="U163" s="469"/>
      <c r="V163" s="1060"/>
      <c r="W163" s="1060"/>
      <c r="X163" s="1060"/>
      <c r="Y163" s="1060"/>
      <c r="Z163" s="1060"/>
      <c r="AA163" s="1543"/>
      <c r="AB163" s="491"/>
      <c r="AC163" s="491"/>
      <c r="AD163" s="491"/>
      <c r="AE163" s="491"/>
    </row>
    <row r="164" spans="1:31" s="6503" customFormat="1" ht="11.25" customHeight="1">
      <c r="A164" s="895"/>
      <c r="B164" s="1547"/>
      <c r="C164" s="1547"/>
      <c r="D164" s="276"/>
      <c r="K164" s="1060"/>
      <c r="L164" s="1547"/>
      <c r="M164" s="1547"/>
      <c r="N164" s="1060"/>
      <c r="O164" s="1060"/>
      <c r="P164" s="1060"/>
      <c r="Q164" s="1060"/>
      <c r="R164" s="1547"/>
      <c r="S164" s="1060"/>
      <c r="T164" s="1060"/>
      <c r="U164" s="469"/>
      <c r="V164" s="1060"/>
      <c r="W164" s="1060"/>
      <c r="X164" s="1060"/>
      <c r="Y164" s="1060"/>
      <c r="Z164" s="1060"/>
      <c r="AA164" s="1543"/>
      <c r="AB164" s="491"/>
      <c r="AC164" s="491"/>
      <c r="AD164" s="491"/>
      <c r="AE164" s="491"/>
    </row>
    <row r="165" spans="1:31" s="6503" customFormat="1" ht="11.25" customHeight="1">
      <c r="A165" s="895"/>
      <c r="B165" s="1547"/>
      <c r="C165" s="1547"/>
      <c r="D165" s="276"/>
      <c r="K165" s="1060"/>
      <c r="L165" s="1547"/>
      <c r="M165" s="1547"/>
      <c r="N165" s="1060"/>
      <c r="O165" s="1060"/>
      <c r="P165" s="1060"/>
      <c r="Q165" s="1060"/>
      <c r="R165" s="1547"/>
      <c r="S165" s="1060"/>
      <c r="T165" s="1060"/>
      <c r="U165" s="469"/>
      <c r="V165" s="1060"/>
      <c r="W165" s="1060"/>
      <c r="X165" s="1060"/>
      <c r="Y165" s="1060"/>
      <c r="Z165" s="1060"/>
      <c r="AA165" s="1543"/>
      <c r="AB165" s="491"/>
      <c r="AC165" s="491"/>
      <c r="AD165" s="491"/>
      <c r="AE165" s="491"/>
    </row>
    <row r="166" spans="1:31" s="6503" customFormat="1" ht="11.25" customHeight="1">
      <c r="A166" s="895"/>
      <c r="B166" s="1547"/>
      <c r="C166" s="1547"/>
      <c r="D166" s="276"/>
      <c r="K166" s="1060"/>
      <c r="L166" s="1547"/>
      <c r="M166" s="1547"/>
      <c r="N166" s="1060"/>
      <c r="O166" s="1060"/>
      <c r="P166" s="1060"/>
      <c r="Q166" s="1060"/>
      <c r="R166" s="1547"/>
      <c r="S166" s="1060"/>
      <c r="T166" s="1060"/>
      <c r="U166" s="469"/>
      <c r="V166" s="1060"/>
      <c r="W166" s="1060"/>
      <c r="X166" s="1060"/>
      <c r="Y166" s="1060"/>
      <c r="Z166" s="1060"/>
      <c r="AA166" s="1543"/>
      <c r="AB166" s="491"/>
      <c r="AC166" s="491"/>
      <c r="AD166" s="491"/>
      <c r="AE166" s="491"/>
    </row>
    <row r="167" spans="1:31" s="6503" customFormat="1" ht="11.25" customHeight="1">
      <c r="A167" s="895"/>
      <c r="B167" s="1547"/>
      <c r="C167" s="1547"/>
      <c r="D167" s="276"/>
      <c r="K167" s="1060"/>
      <c r="L167" s="1547"/>
      <c r="M167" s="1547"/>
      <c r="N167" s="1060"/>
      <c r="O167" s="1060"/>
      <c r="P167" s="1060"/>
      <c r="Q167" s="1060"/>
      <c r="R167" s="1547"/>
      <c r="S167" s="1060"/>
      <c r="T167" s="1060"/>
      <c r="U167" s="469"/>
      <c r="V167" s="1060"/>
      <c r="W167" s="1060"/>
      <c r="X167" s="1060"/>
      <c r="Y167" s="1060"/>
      <c r="Z167" s="1060"/>
      <c r="AA167" s="1543"/>
      <c r="AB167" s="491"/>
      <c r="AC167" s="491"/>
      <c r="AD167" s="491"/>
      <c r="AE167" s="491"/>
    </row>
    <row r="168" spans="1:31" s="6503" customFormat="1" ht="11.25" customHeight="1">
      <c r="A168" s="895"/>
      <c r="B168" s="1547"/>
      <c r="C168" s="1547"/>
      <c r="D168" s="276"/>
      <c r="K168" s="1060"/>
      <c r="L168" s="1547"/>
      <c r="M168" s="1547"/>
      <c r="N168" s="1060"/>
      <c r="O168" s="1060"/>
      <c r="P168" s="1060"/>
      <c r="Q168" s="1060"/>
      <c r="R168" s="1547"/>
      <c r="S168" s="1060"/>
      <c r="T168" s="1060"/>
      <c r="U168" s="469"/>
      <c r="V168" s="1060"/>
      <c r="W168" s="1060"/>
      <c r="X168" s="1060"/>
      <c r="Y168" s="1060"/>
      <c r="Z168" s="1060"/>
      <c r="AA168" s="1543"/>
      <c r="AB168" s="491"/>
      <c r="AC168" s="491"/>
      <c r="AD168" s="491"/>
      <c r="AE168" s="491"/>
    </row>
    <row r="169" spans="1:31" s="6503" customFormat="1" ht="11.25" customHeight="1">
      <c r="A169" s="895"/>
      <c r="B169" s="1547"/>
      <c r="C169" s="1547"/>
      <c r="D169" s="276"/>
      <c r="K169" s="1060"/>
      <c r="L169" s="1547"/>
      <c r="M169" s="1547"/>
      <c r="N169" s="1060"/>
      <c r="O169" s="1060"/>
      <c r="P169" s="1060"/>
      <c r="Q169" s="1060"/>
      <c r="R169" s="1547"/>
      <c r="S169" s="1060"/>
      <c r="T169" s="1060"/>
      <c r="U169" s="469"/>
      <c r="V169" s="1060"/>
      <c r="W169" s="1060"/>
      <c r="X169" s="1060"/>
      <c r="Y169" s="1060"/>
      <c r="Z169" s="1060"/>
      <c r="AA169" s="1543"/>
      <c r="AB169" s="491"/>
      <c r="AC169" s="491"/>
      <c r="AD169" s="491"/>
      <c r="AE169" s="491"/>
    </row>
    <row r="170" spans="1:31" s="6503" customFormat="1" ht="11.25" customHeight="1">
      <c r="A170" s="895"/>
      <c r="B170" s="1547"/>
      <c r="C170" s="1547"/>
      <c r="D170" s="276"/>
      <c r="K170" s="1060"/>
      <c r="L170" s="1547"/>
      <c r="M170" s="1547"/>
      <c r="N170" s="1060"/>
      <c r="O170" s="1060"/>
      <c r="P170" s="1060"/>
      <c r="Q170" s="1060"/>
      <c r="R170" s="1547"/>
      <c r="S170" s="1060"/>
      <c r="T170" s="1060"/>
      <c r="U170" s="469"/>
      <c r="V170" s="1060"/>
      <c r="W170" s="1060"/>
      <c r="X170" s="1060"/>
      <c r="Y170" s="1060"/>
      <c r="Z170" s="1060"/>
      <c r="AA170" s="1543"/>
      <c r="AB170" s="491"/>
      <c r="AC170" s="491"/>
      <c r="AD170" s="491"/>
      <c r="AE170" s="491"/>
    </row>
    <row r="171" spans="1:31" s="6503" customFormat="1" ht="11.25" customHeight="1">
      <c r="A171" s="895"/>
      <c r="B171" s="1547"/>
      <c r="C171" s="1547"/>
      <c r="D171" s="276"/>
      <c r="K171" s="1060"/>
      <c r="L171" s="1547"/>
      <c r="M171" s="1547"/>
      <c r="N171" s="1060"/>
      <c r="O171" s="1060"/>
      <c r="P171" s="1060"/>
      <c r="Q171" s="1060"/>
      <c r="R171" s="1547"/>
      <c r="S171" s="1060"/>
      <c r="T171" s="1060"/>
      <c r="U171" s="469"/>
      <c r="V171" s="1060"/>
      <c r="W171" s="1060"/>
      <c r="X171" s="1060"/>
      <c r="Y171" s="1060"/>
      <c r="Z171" s="1060"/>
      <c r="AA171" s="1543"/>
      <c r="AB171" s="491"/>
      <c r="AC171" s="491"/>
      <c r="AD171" s="491"/>
      <c r="AE171" s="491"/>
    </row>
    <row r="172" spans="1:31" s="6503" customFormat="1" ht="11.25" customHeight="1">
      <c r="A172" s="895"/>
      <c r="B172" s="1547"/>
      <c r="C172" s="1547"/>
      <c r="D172" s="276"/>
      <c r="K172" s="1060"/>
      <c r="L172" s="1547"/>
      <c r="M172" s="1547"/>
      <c r="N172" s="1060"/>
      <c r="O172" s="1060"/>
      <c r="P172" s="1060"/>
      <c r="Q172" s="1060"/>
      <c r="R172" s="1547"/>
      <c r="S172" s="1060"/>
      <c r="T172" s="1060"/>
      <c r="U172" s="469"/>
      <c r="V172" s="1060"/>
      <c r="W172" s="1060"/>
      <c r="X172" s="1060"/>
      <c r="Y172" s="1060"/>
      <c r="Z172" s="1060"/>
      <c r="AA172" s="1543"/>
      <c r="AB172" s="491"/>
      <c r="AC172" s="491"/>
      <c r="AD172" s="491"/>
      <c r="AE172" s="491"/>
    </row>
    <row r="173" spans="1:31" s="6503" customFormat="1" ht="11.25" customHeight="1">
      <c r="A173" s="895"/>
      <c r="B173" s="1547"/>
      <c r="C173" s="1547"/>
      <c r="D173" s="276"/>
      <c r="K173" s="1060"/>
      <c r="L173" s="1547"/>
      <c r="M173" s="1547"/>
      <c r="N173" s="1060"/>
      <c r="O173" s="1060"/>
      <c r="P173" s="1060"/>
      <c r="Q173" s="1060"/>
      <c r="R173" s="1547"/>
      <c r="S173" s="1060"/>
      <c r="T173" s="1060"/>
      <c r="U173" s="469"/>
      <c r="V173" s="1060"/>
      <c r="W173" s="1060"/>
      <c r="X173" s="1060"/>
      <c r="Y173" s="1060"/>
      <c r="Z173" s="1060"/>
      <c r="AA173" s="1543"/>
      <c r="AB173" s="491"/>
      <c r="AC173" s="491"/>
      <c r="AD173" s="491"/>
      <c r="AE173" s="491"/>
    </row>
    <row r="174" spans="1:31" s="6503" customFormat="1" ht="11.25" customHeight="1">
      <c r="A174" s="895"/>
      <c r="B174" s="1547"/>
      <c r="C174" s="1547"/>
      <c r="D174" s="276"/>
      <c r="K174" s="1060"/>
      <c r="L174" s="1547"/>
      <c r="M174" s="1547"/>
      <c r="N174" s="1060"/>
      <c r="O174" s="1060"/>
      <c r="P174" s="1060"/>
      <c r="Q174" s="1060"/>
      <c r="R174" s="1547"/>
      <c r="S174" s="1060"/>
      <c r="T174" s="1060"/>
      <c r="U174" s="469"/>
      <c r="V174" s="1060"/>
      <c r="W174" s="1060"/>
      <c r="X174" s="1060"/>
      <c r="Y174" s="1060"/>
      <c r="Z174" s="1060"/>
      <c r="AA174" s="1543"/>
      <c r="AB174" s="491"/>
      <c r="AC174" s="491"/>
      <c r="AD174" s="491"/>
      <c r="AE174" s="491"/>
    </row>
    <row r="175" spans="1:31" s="6503" customFormat="1" ht="11.25" customHeight="1">
      <c r="A175" s="895"/>
      <c r="B175" s="1547"/>
      <c r="C175" s="1547"/>
      <c r="D175" s="276"/>
      <c r="K175" s="1060"/>
      <c r="L175" s="1547"/>
      <c r="M175" s="1547"/>
      <c r="N175" s="1060"/>
      <c r="O175" s="1060"/>
      <c r="P175" s="1060"/>
      <c r="Q175" s="1060"/>
      <c r="R175" s="1547"/>
      <c r="S175" s="1060"/>
      <c r="T175" s="1060"/>
      <c r="U175" s="469"/>
      <c r="V175" s="1060"/>
      <c r="W175" s="1060"/>
      <c r="X175" s="1060"/>
      <c r="Y175" s="1060"/>
      <c r="Z175" s="1060"/>
      <c r="AA175" s="1543"/>
      <c r="AB175" s="491"/>
      <c r="AC175" s="491"/>
      <c r="AD175" s="491"/>
      <c r="AE175" s="491"/>
    </row>
    <row r="176" spans="1:31" s="6503" customFormat="1" ht="11.25" customHeight="1">
      <c r="A176" s="895"/>
      <c r="B176" s="1547"/>
      <c r="C176" s="1547"/>
      <c r="D176" s="276"/>
      <c r="K176" s="1060"/>
      <c r="L176" s="1547"/>
      <c r="M176" s="1547"/>
      <c r="N176" s="1060"/>
      <c r="O176" s="1060"/>
      <c r="P176" s="1060"/>
      <c r="Q176" s="1060"/>
      <c r="R176" s="1547"/>
      <c r="S176" s="1060"/>
      <c r="T176" s="1060"/>
      <c r="U176" s="469"/>
      <c r="V176" s="1060"/>
      <c r="W176" s="1060"/>
      <c r="X176" s="1060"/>
      <c r="Y176" s="1060"/>
      <c r="Z176" s="1060"/>
      <c r="AA176" s="1543"/>
      <c r="AB176" s="491"/>
      <c r="AC176" s="491"/>
      <c r="AD176" s="491"/>
      <c r="AE176" s="491"/>
    </row>
    <row r="177" spans="1:31" s="6503" customFormat="1" ht="11.25" customHeight="1">
      <c r="A177" s="895"/>
      <c r="B177" s="1547"/>
      <c r="C177" s="1547"/>
      <c r="D177" s="276"/>
      <c r="K177" s="1060"/>
      <c r="L177" s="1547"/>
      <c r="M177" s="1547"/>
      <c r="N177" s="1060"/>
      <c r="O177" s="1060"/>
      <c r="P177" s="1060"/>
      <c r="Q177" s="1060"/>
      <c r="R177" s="1547"/>
      <c r="S177" s="1060"/>
      <c r="T177" s="1060"/>
      <c r="U177" s="469"/>
      <c r="V177" s="1060"/>
      <c r="W177" s="1060"/>
      <c r="X177" s="1060"/>
      <c r="Y177" s="1060"/>
      <c r="Z177" s="1060"/>
      <c r="AA177" s="1543"/>
      <c r="AB177" s="491"/>
      <c r="AC177" s="491"/>
      <c r="AD177" s="491"/>
      <c r="AE177" s="491"/>
    </row>
    <row r="178" spans="1:31" s="6503" customFormat="1" ht="11.25" customHeight="1">
      <c r="A178" s="895"/>
      <c r="B178" s="1547"/>
      <c r="C178" s="1547"/>
      <c r="D178" s="276"/>
      <c r="K178" s="1060"/>
      <c r="L178" s="1547"/>
      <c r="M178" s="1547"/>
      <c r="N178" s="1060"/>
      <c r="O178" s="1060"/>
      <c r="P178" s="1060"/>
      <c r="Q178" s="1060"/>
      <c r="R178" s="1547"/>
      <c r="S178" s="1060"/>
      <c r="T178" s="1060"/>
      <c r="U178" s="469"/>
      <c r="V178" s="1060"/>
      <c r="W178" s="1060"/>
      <c r="X178" s="1060"/>
      <c r="Y178" s="1060"/>
      <c r="Z178" s="1060"/>
      <c r="AA178" s="1543"/>
      <c r="AB178" s="491"/>
      <c r="AC178" s="491"/>
      <c r="AD178" s="491"/>
      <c r="AE178" s="491"/>
    </row>
    <row r="179" spans="1:31" s="6503" customFormat="1" ht="11.25" customHeight="1">
      <c r="A179" s="895"/>
      <c r="B179" s="1547"/>
      <c r="C179" s="1547"/>
      <c r="D179" s="276"/>
      <c r="K179" s="1060"/>
      <c r="L179" s="1547"/>
      <c r="M179" s="1547"/>
      <c r="N179" s="1060"/>
      <c r="O179" s="1060"/>
      <c r="P179" s="1060"/>
      <c r="Q179" s="1060"/>
      <c r="R179" s="1547"/>
      <c r="S179" s="1060"/>
      <c r="T179" s="1060"/>
      <c r="U179" s="469"/>
      <c r="V179" s="1060"/>
      <c r="W179" s="1060"/>
      <c r="X179" s="1060"/>
      <c r="Y179" s="1060"/>
      <c r="Z179" s="1060"/>
      <c r="AA179" s="1543"/>
      <c r="AB179" s="491"/>
      <c r="AC179" s="491"/>
      <c r="AD179" s="491"/>
      <c r="AE179" s="491"/>
    </row>
    <row r="180" spans="1:31" s="6503" customFormat="1" ht="11.25" customHeight="1">
      <c r="A180" s="895"/>
      <c r="B180" s="1547"/>
      <c r="C180" s="1547"/>
      <c r="D180" s="276"/>
      <c r="K180" s="1060"/>
      <c r="L180" s="1547"/>
      <c r="M180" s="1547"/>
      <c r="N180" s="1060"/>
      <c r="O180" s="1060"/>
      <c r="P180" s="1060"/>
      <c r="Q180" s="1060"/>
      <c r="R180" s="1547"/>
      <c r="S180" s="1060"/>
      <c r="T180" s="1060"/>
      <c r="U180" s="469"/>
      <c r="V180" s="1060"/>
      <c r="W180" s="1060"/>
      <c r="X180" s="1060"/>
      <c r="Y180" s="1060"/>
      <c r="Z180" s="1060"/>
      <c r="AA180" s="1543"/>
      <c r="AB180" s="491"/>
      <c r="AC180" s="491"/>
      <c r="AD180" s="491"/>
      <c r="AE180" s="491"/>
    </row>
    <row r="181" spans="1:31" s="6503" customFormat="1" ht="11.25" customHeight="1">
      <c r="A181" s="895"/>
      <c r="B181" s="1547"/>
      <c r="C181" s="1547"/>
      <c r="D181" s="276"/>
      <c r="K181" s="1060"/>
      <c r="L181" s="1547"/>
      <c r="M181" s="1547"/>
      <c r="N181" s="1060"/>
      <c r="O181" s="1060"/>
      <c r="P181" s="1060"/>
      <c r="Q181" s="1060"/>
      <c r="R181" s="1547"/>
      <c r="S181" s="1060"/>
      <c r="T181" s="1060"/>
      <c r="U181" s="469"/>
      <c r="V181" s="1060"/>
      <c r="W181" s="1060"/>
      <c r="X181" s="1060"/>
      <c r="Y181" s="1060"/>
      <c r="Z181" s="1060"/>
      <c r="AA181" s="1543"/>
      <c r="AB181" s="491"/>
      <c r="AC181" s="491"/>
      <c r="AD181" s="491"/>
      <c r="AE181" s="491"/>
    </row>
    <row r="182" spans="1:31" s="6503" customFormat="1" ht="11.25" customHeight="1">
      <c r="A182" s="895"/>
      <c r="B182" s="1547"/>
      <c r="C182" s="1547"/>
      <c r="D182" s="276"/>
      <c r="K182" s="1060"/>
      <c r="L182" s="1547"/>
      <c r="M182" s="1547"/>
      <c r="N182" s="1060"/>
      <c r="O182" s="1060"/>
      <c r="P182" s="1060"/>
      <c r="Q182" s="1060"/>
      <c r="R182" s="1547"/>
      <c r="S182" s="1060"/>
      <c r="T182" s="1060"/>
      <c r="U182" s="469"/>
      <c r="V182" s="1060"/>
      <c r="W182" s="1060"/>
      <c r="X182" s="1060"/>
      <c r="Y182" s="1060"/>
      <c r="Z182" s="1060"/>
      <c r="AA182" s="1543"/>
      <c r="AB182" s="491"/>
      <c r="AC182" s="491"/>
      <c r="AD182" s="491"/>
      <c r="AE182" s="491"/>
    </row>
    <row r="183" spans="1:31" s="6503" customFormat="1" ht="11.25" customHeight="1">
      <c r="A183" s="895"/>
      <c r="B183" s="1547"/>
      <c r="C183" s="1547"/>
      <c r="D183" s="276"/>
      <c r="K183" s="1060"/>
      <c r="L183" s="1547"/>
      <c r="M183" s="1547"/>
      <c r="N183" s="1060"/>
      <c r="O183" s="1060"/>
      <c r="P183" s="1060"/>
      <c r="Q183" s="1060"/>
      <c r="R183" s="1547"/>
      <c r="S183" s="1060"/>
      <c r="T183" s="1060"/>
      <c r="U183" s="469"/>
      <c r="V183" s="1060"/>
      <c r="W183" s="1060"/>
      <c r="X183" s="1060"/>
      <c r="Y183" s="1060"/>
      <c r="Z183" s="1060"/>
      <c r="AA183" s="1543"/>
      <c r="AB183" s="491"/>
      <c r="AC183" s="491"/>
      <c r="AD183" s="491"/>
      <c r="AE183" s="491"/>
    </row>
    <row r="184" spans="1:31" s="6503" customFormat="1" ht="11.25" customHeight="1">
      <c r="A184" s="895"/>
      <c r="B184" s="1547"/>
      <c r="C184" s="1547"/>
      <c r="D184" s="276"/>
      <c r="K184" s="1060"/>
      <c r="L184" s="1547"/>
      <c r="M184" s="1547"/>
      <c r="N184" s="1060"/>
      <c r="O184" s="1060"/>
      <c r="P184" s="1060"/>
      <c r="Q184" s="1060"/>
      <c r="R184" s="1547"/>
      <c r="S184" s="1060"/>
      <c r="T184" s="1060"/>
      <c r="U184" s="469"/>
      <c r="V184" s="1060"/>
      <c r="W184" s="1060"/>
      <c r="X184" s="1060"/>
      <c r="Y184" s="1060"/>
      <c r="Z184" s="1060"/>
      <c r="AA184" s="1543"/>
      <c r="AB184" s="491"/>
      <c r="AC184" s="491"/>
      <c r="AD184" s="491"/>
      <c r="AE184" s="491"/>
    </row>
    <row r="185" spans="1:31" s="6503" customFormat="1" ht="11.25" customHeight="1">
      <c r="A185" s="895"/>
      <c r="B185" s="1547"/>
      <c r="C185" s="1547"/>
      <c r="D185" s="276"/>
      <c r="K185" s="1060"/>
      <c r="L185" s="1547"/>
      <c r="M185" s="1547"/>
      <c r="N185" s="1060"/>
      <c r="O185" s="1060"/>
      <c r="P185" s="1060"/>
      <c r="Q185" s="1060"/>
      <c r="R185" s="1547"/>
      <c r="S185" s="1060"/>
      <c r="T185" s="1060"/>
      <c r="U185" s="469"/>
      <c r="V185" s="1060"/>
      <c r="W185" s="1060"/>
      <c r="X185" s="1060"/>
      <c r="Y185" s="1060"/>
      <c r="Z185" s="1060"/>
      <c r="AA185" s="1543"/>
      <c r="AB185" s="491"/>
      <c r="AC185" s="491"/>
      <c r="AD185" s="491"/>
      <c r="AE185" s="491"/>
    </row>
    <row r="186" spans="1:31" s="6503" customFormat="1" ht="11.25" customHeight="1">
      <c r="A186" s="895"/>
      <c r="B186" s="1547"/>
      <c r="C186" s="1547"/>
      <c r="D186" s="276"/>
      <c r="K186" s="1060"/>
      <c r="L186" s="1547"/>
      <c r="M186" s="1547"/>
      <c r="N186" s="1060"/>
      <c r="O186" s="1060"/>
      <c r="P186" s="1060"/>
      <c r="Q186" s="1060"/>
      <c r="R186" s="1547"/>
      <c r="S186" s="1060"/>
      <c r="T186" s="1060"/>
      <c r="U186" s="469"/>
      <c r="V186" s="1060"/>
      <c r="W186" s="1060"/>
      <c r="X186" s="1060"/>
      <c r="Y186" s="1060"/>
      <c r="Z186" s="1060"/>
      <c r="AA186" s="1543"/>
      <c r="AB186" s="491"/>
      <c r="AC186" s="491"/>
      <c r="AD186" s="491"/>
      <c r="AE186" s="491"/>
    </row>
    <row r="187" spans="1:31" s="6503" customFormat="1" ht="11.25" customHeight="1">
      <c r="A187" s="895"/>
      <c r="B187" s="1547"/>
      <c r="C187" s="1547"/>
      <c r="D187" s="276"/>
      <c r="K187" s="1060"/>
      <c r="L187" s="1547"/>
      <c r="M187" s="1547"/>
      <c r="N187" s="1060"/>
      <c r="O187" s="1060"/>
      <c r="P187" s="1060"/>
      <c r="Q187" s="1060"/>
      <c r="R187" s="1547"/>
      <c r="S187" s="1060"/>
      <c r="T187" s="1060"/>
      <c r="U187" s="469"/>
      <c r="V187" s="1060"/>
      <c r="W187" s="1060"/>
      <c r="X187" s="1060"/>
      <c r="Y187" s="1060"/>
      <c r="Z187" s="1060"/>
      <c r="AA187" s="1543"/>
      <c r="AB187" s="491"/>
      <c r="AC187" s="491"/>
      <c r="AD187" s="491"/>
      <c r="AE187" s="491"/>
    </row>
    <row r="188" spans="1:31" s="6503" customFormat="1" ht="11.25" customHeight="1">
      <c r="A188" s="895"/>
      <c r="B188" s="1547"/>
      <c r="C188" s="1547"/>
      <c r="D188" s="276"/>
      <c r="K188" s="1060"/>
      <c r="L188" s="1547"/>
      <c r="M188" s="1547"/>
      <c r="N188" s="1060"/>
      <c r="O188" s="1060"/>
      <c r="P188" s="1060"/>
      <c r="Q188" s="1060"/>
      <c r="R188" s="1547"/>
      <c r="S188" s="1060"/>
      <c r="T188" s="1060"/>
      <c r="U188" s="469"/>
      <c r="V188" s="1060"/>
      <c r="W188" s="1060"/>
      <c r="X188" s="1060"/>
      <c r="Y188" s="1060"/>
      <c r="Z188" s="1060"/>
      <c r="AA188" s="1543"/>
      <c r="AB188" s="491"/>
      <c r="AC188" s="491"/>
      <c r="AD188" s="491"/>
      <c r="AE188" s="491"/>
    </row>
    <row r="189" spans="1:31" s="6503" customFormat="1" ht="11.25" customHeight="1">
      <c r="A189" s="895"/>
      <c r="B189" s="1547"/>
      <c r="C189" s="1547"/>
      <c r="D189" s="276"/>
      <c r="K189" s="1060"/>
      <c r="L189" s="1547"/>
      <c r="M189" s="1547"/>
      <c r="N189" s="1060"/>
      <c r="O189" s="1060"/>
      <c r="P189" s="1060"/>
      <c r="Q189" s="1060"/>
      <c r="R189" s="1547"/>
      <c r="S189" s="1060"/>
      <c r="T189" s="1060"/>
      <c r="U189" s="469"/>
      <c r="V189" s="1060"/>
      <c r="W189" s="1060"/>
      <c r="X189" s="1060"/>
      <c r="Y189" s="1060"/>
      <c r="Z189" s="1060"/>
      <c r="AA189" s="1543"/>
      <c r="AB189" s="491"/>
      <c r="AC189" s="491"/>
      <c r="AD189" s="491"/>
      <c r="AE189" s="491"/>
    </row>
    <row r="190" spans="1:31" s="6503" customFormat="1" ht="11.25" customHeight="1">
      <c r="A190" s="895"/>
      <c r="B190" s="1547"/>
      <c r="C190" s="1547"/>
      <c r="D190" s="276"/>
      <c r="K190" s="1060"/>
      <c r="L190" s="1547"/>
      <c r="M190" s="1547"/>
      <c r="N190" s="1060"/>
      <c r="O190" s="1060"/>
      <c r="P190" s="1060"/>
      <c r="Q190" s="1060"/>
      <c r="R190" s="1547"/>
      <c r="S190" s="1060"/>
      <c r="T190" s="1060"/>
      <c r="U190" s="469"/>
      <c r="V190" s="1060"/>
      <c r="W190" s="1060"/>
      <c r="X190" s="1060"/>
      <c r="Y190" s="1060"/>
      <c r="Z190" s="1060"/>
      <c r="AA190" s="1543"/>
      <c r="AB190" s="491"/>
      <c r="AC190" s="491"/>
      <c r="AD190" s="491"/>
      <c r="AE190" s="491"/>
    </row>
    <row r="191" spans="1:31" s="6503" customFormat="1" ht="11.25" customHeight="1">
      <c r="A191" s="895"/>
      <c r="B191" s="1547"/>
      <c r="C191" s="1547"/>
      <c r="D191" s="276"/>
      <c r="K191" s="1060"/>
      <c r="L191" s="1547"/>
      <c r="M191" s="1547"/>
      <c r="N191" s="1060"/>
      <c r="O191" s="1060"/>
      <c r="P191" s="1060"/>
      <c r="Q191" s="1060"/>
      <c r="R191" s="1547"/>
      <c r="S191" s="1060"/>
      <c r="T191" s="1060"/>
      <c r="U191" s="469"/>
      <c r="V191" s="1060"/>
      <c r="W191" s="1060"/>
      <c r="X191" s="1060"/>
      <c r="Y191" s="1060"/>
      <c r="Z191" s="1060"/>
      <c r="AA191" s="1543"/>
      <c r="AB191" s="491"/>
      <c r="AC191" s="491"/>
      <c r="AD191" s="491"/>
      <c r="AE191" s="491"/>
    </row>
    <row r="192" spans="1:31" s="6503" customFormat="1" ht="11.25" customHeight="1">
      <c r="A192" s="895"/>
      <c r="B192" s="1547"/>
      <c r="C192" s="1547"/>
      <c r="D192" s="276"/>
      <c r="K192" s="1060"/>
      <c r="L192" s="1547"/>
      <c r="M192" s="1547"/>
      <c r="N192" s="1060"/>
      <c r="O192" s="1060"/>
      <c r="P192" s="1060"/>
      <c r="Q192" s="1060"/>
      <c r="R192" s="1547"/>
      <c r="S192" s="1060"/>
      <c r="T192" s="1060"/>
      <c r="U192" s="469"/>
      <c r="V192" s="1060"/>
      <c r="W192" s="1060"/>
      <c r="X192" s="1060"/>
      <c r="Y192" s="1060"/>
      <c r="Z192" s="1060"/>
      <c r="AA192" s="1543"/>
      <c r="AB192" s="491"/>
      <c r="AC192" s="491"/>
      <c r="AD192" s="491"/>
      <c r="AE192" s="491"/>
    </row>
    <row r="193" spans="1:31" s="6503" customFormat="1" ht="11.25" customHeight="1">
      <c r="A193" s="895"/>
      <c r="B193" s="1547"/>
      <c r="C193" s="1547"/>
      <c r="D193" s="276"/>
      <c r="K193" s="1060"/>
      <c r="L193" s="1547"/>
      <c r="M193" s="1547"/>
      <c r="N193" s="1060"/>
      <c r="O193" s="1060"/>
      <c r="P193" s="1060"/>
      <c r="Q193" s="1060"/>
      <c r="R193" s="1547"/>
      <c r="S193" s="1060"/>
      <c r="T193" s="1060"/>
      <c r="U193" s="469"/>
      <c r="V193" s="1060"/>
      <c r="W193" s="1060"/>
      <c r="X193" s="1060"/>
      <c r="Y193" s="1060"/>
      <c r="Z193" s="1060"/>
      <c r="AA193" s="1543"/>
      <c r="AB193" s="491"/>
      <c r="AC193" s="491"/>
      <c r="AD193" s="491"/>
      <c r="AE193" s="491"/>
    </row>
    <row r="194" spans="1:31" s="6503" customFormat="1" ht="11.25" customHeight="1">
      <c r="A194" s="895"/>
      <c r="B194" s="1547"/>
      <c r="C194" s="1547"/>
      <c r="D194" s="276"/>
      <c r="K194" s="1060"/>
      <c r="L194" s="1547"/>
      <c r="M194" s="1547"/>
      <c r="N194" s="1060"/>
      <c r="O194" s="1060"/>
      <c r="P194" s="1060"/>
      <c r="Q194" s="1060"/>
      <c r="R194" s="1547"/>
      <c r="S194" s="1060"/>
      <c r="T194" s="1060"/>
      <c r="U194" s="469"/>
      <c r="V194" s="1060"/>
      <c r="W194" s="1060"/>
      <c r="X194" s="1060"/>
      <c r="Y194" s="1060"/>
      <c r="Z194" s="1060"/>
      <c r="AA194" s="1543"/>
      <c r="AB194" s="491"/>
      <c r="AC194" s="491"/>
      <c r="AD194" s="491"/>
      <c r="AE194" s="491"/>
    </row>
    <row r="195" spans="1:31" s="6503" customFormat="1" ht="11.25" customHeight="1">
      <c r="A195" s="895"/>
      <c r="B195" s="1547"/>
      <c r="C195" s="1547"/>
      <c r="D195" s="276"/>
      <c r="K195" s="1060"/>
      <c r="L195" s="1547"/>
      <c r="M195" s="1547"/>
      <c r="N195" s="1060"/>
      <c r="O195" s="1060"/>
      <c r="P195" s="1060"/>
      <c r="Q195" s="1060"/>
      <c r="R195" s="1547"/>
      <c r="S195" s="1060"/>
      <c r="T195" s="1060"/>
      <c r="U195" s="469"/>
      <c r="V195" s="1060"/>
      <c r="W195" s="1060"/>
      <c r="X195" s="1060"/>
      <c r="Y195" s="1060"/>
      <c r="Z195" s="1060"/>
      <c r="AA195" s="1543"/>
      <c r="AB195" s="491"/>
      <c r="AC195" s="491"/>
      <c r="AD195" s="491"/>
      <c r="AE195" s="491"/>
    </row>
    <row r="199" spans="1:31" ht="11.25" customHeight="1">
      <c r="A199" s="898"/>
      <c r="B199" s="1542"/>
      <c r="D199" s="1542"/>
      <c r="K199" s="1542"/>
      <c r="N199" s="1542"/>
      <c r="O199" s="1542"/>
      <c r="P199" s="1542"/>
      <c r="Q199" s="1542"/>
      <c r="S199" s="1542"/>
      <c r="T199" s="1542"/>
      <c r="U199" s="1542"/>
      <c r="V199" s="1542"/>
      <c r="W199" s="1542"/>
      <c r="X199" s="1542"/>
      <c r="Y199" s="1542"/>
      <c r="Z199" s="1542"/>
      <c r="AA199" s="1542"/>
      <c r="AB199" s="1542"/>
      <c r="AC199" s="1542"/>
      <c r="AD199" s="1542"/>
      <c r="AE199" s="1542"/>
    </row>
    <row r="200" spans="1:31" ht="11.25" customHeight="1">
      <c r="A200" s="898"/>
      <c r="B200" s="1542"/>
      <c r="D200" s="1542"/>
      <c r="K200" s="1542"/>
      <c r="N200" s="1542"/>
      <c r="O200" s="1542"/>
      <c r="P200" s="1542"/>
      <c r="Q200" s="1542"/>
      <c r="S200" s="1542"/>
      <c r="T200" s="1542"/>
      <c r="U200" s="1542"/>
      <c r="V200" s="1542"/>
      <c r="W200" s="1542"/>
      <c r="X200" s="1542"/>
      <c r="Y200" s="1542"/>
      <c r="Z200" s="1542"/>
      <c r="AA200" s="1542"/>
      <c r="AB200" s="1542"/>
      <c r="AC200" s="1542"/>
      <c r="AD200" s="1542"/>
      <c r="AE200" s="1542"/>
    </row>
    <row r="201" spans="1:31" ht="11.25" customHeight="1">
      <c r="A201" s="898"/>
      <c r="B201" s="1542"/>
      <c r="D201" s="1542"/>
      <c r="K201" s="1542"/>
      <c r="N201" s="1542"/>
      <c r="O201" s="1542"/>
      <c r="P201" s="1542"/>
      <c r="Q201" s="1542"/>
      <c r="S201" s="1542"/>
      <c r="T201" s="1542"/>
      <c r="U201" s="1542"/>
      <c r="V201" s="1542"/>
      <c r="W201" s="1542"/>
      <c r="X201" s="1542"/>
      <c r="Y201" s="1542"/>
      <c r="Z201" s="1542"/>
      <c r="AA201" s="1542"/>
      <c r="AB201" s="1542"/>
      <c r="AC201" s="1542"/>
      <c r="AD201" s="1542"/>
      <c r="AE201" s="1542"/>
    </row>
    <row r="202" spans="1:31" ht="11.25" customHeight="1">
      <c r="A202" s="898"/>
      <c r="B202" s="1542"/>
      <c r="D202" s="1542"/>
      <c r="K202" s="1542"/>
      <c r="N202" s="1542"/>
      <c r="O202" s="1542"/>
      <c r="P202" s="1542"/>
      <c r="Q202" s="1542"/>
      <c r="S202" s="1542"/>
      <c r="T202" s="1542"/>
      <c r="U202" s="1542"/>
      <c r="V202" s="1542"/>
      <c r="W202" s="1542"/>
      <c r="X202" s="1542"/>
      <c r="Y202" s="1542"/>
      <c r="Z202" s="1542"/>
      <c r="AA202" s="1542"/>
      <c r="AB202" s="1542"/>
      <c r="AC202" s="1542"/>
      <c r="AD202" s="1542"/>
      <c r="AE202" s="1542"/>
    </row>
    <row r="203" spans="1:31" ht="11.25" customHeight="1">
      <c r="A203" s="898"/>
      <c r="B203" s="1542"/>
      <c r="D203" s="1542"/>
      <c r="K203" s="1542"/>
      <c r="N203" s="1542"/>
      <c r="O203" s="1542"/>
      <c r="P203" s="1542"/>
      <c r="Q203" s="1542"/>
      <c r="S203" s="1542"/>
      <c r="T203" s="1542"/>
      <c r="U203" s="1542"/>
      <c r="V203" s="1542"/>
      <c r="W203" s="1542"/>
      <c r="X203" s="1542"/>
      <c r="Y203" s="1542"/>
      <c r="Z203" s="1542"/>
      <c r="AA203" s="1542"/>
      <c r="AB203" s="1542"/>
      <c r="AC203" s="1542"/>
      <c r="AD203" s="1542"/>
      <c r="AE203" s="1542"/>
    </row>
    <row r="204" spans="1:31" ht="11.25" customHeight="1">
      <c r="A204" s="898"/>
      <c r="B204" s="1542"/>
      <c r="D204" s="1542"/>
      <c r="K204" s="1542"/>
      <c r="N204" s="1542"/>
      <c r="O204" s="1542"/>
      <c r="P204" s="1542"/>
      <c r="Q204" s="1542"/>
      <c r="S204" s="1542"/>
      <c r="T204" s="1542"/>
      <c r="U204" s="1542"/>
      <c r="V204" s="1542"/>
      <c r="W204" s="1542"/>
      <c r="X204" s="1542"/>
      <c r="Y204" s="1542"/>
      <c r="Z204" s="1542"/>
      <c r="AA204" s="1542"/>
      <c r="AB204" s="1542"/>
      <c r="AC204" s="1542"/>
      <c r="AD204" s="1542"/>
      <c r="AE204" s="1542"/>
    </row>
    <row r="205" spans="1:31" ht="11.25" customHeight="1">
      <c r="A205" s="898"/>
      <c r="B205" s="1542"/>
      <c r="D205" s="1542"/>
      <c r="K205" s="1542"/>
      <c r="N205" s="1542"/>
      <c r="O205" s="1542"/>
      <c r="P205" s="1542"/>
      <c r="Q205" s="1542"/>
      <c r="S205" s="1542"/>
      <c r="T205" s="1542"/>
      <c r="U205" s="1542"/>
      <c r="V205" s="1542"/>
      <c r="W205" s="1542"/>
      <c r="X205" s="1542"/>
      <c r="Y205" s="1542"/>
      <c r="Z205" s="1542"/>
      <c r="AA205" s="1542"/>
      <c r="AB205" s="1542"/>
      <c r="AC205" s="1542"/>
      <c r="AD205" s="1542"/>
      <c r="AE205" s="1542"/>
    </row>
    <row r="206" spans="1:31" ht="11.25" customHeight="1">
      <c r="A206" s="898"/>
      <c r="B206" s="1542"/>
      <c r="D206" s="1542"/>
      <c r="K206" s="1542"/>
      <c r="N206" s="1542"/>
      <c r="O206" s="1542"/>
      <c r="P206" s="1542"/>
      <c r="Q206" s="1542"/>
      <c r="S206" s="1542"/>
      <c r="T206" s="1542"/>
      <c r="U206" s="1542"/>
      <c r="V206" s="1542"/>
      <c r="W206" s="1542"/>
      <c r="X206" s="1542"/>
      <c r="Y206" s="1542"/>
      <c r="Z206" s="1542"/>
      <c r="AA206" s="1542"/>
      <c r="AB206" s="1542"/>
      <c r="AC206" s="1542"/>
      <c r="AD206" s="1542"/>
      <c r="AE206" s="1542"/>
    </row>
    <row r="207" spans="1:31" ht="11.25" customHeight="1">
      <c r="A207" s="898"/>
      <c r="B207" s="1542"/>
      <c r="D207" s="1542"/>
      <c r="K207" s="1542"/>
      <c r="N207" s="1542"/>
      <c r="O207" s="1542"/>
      <c r="P207" s="1542"/>
      <c r="Q207" s="1542"/>
      <c r="S207" s="1542"/>
      <c r="T207" s="1542"/>
      <c r="U207" s="1542"/>
      <c r="V207" s="1542"/>
      <c r="W207" s="1542"/>
      <c r="X207" s="1542"/>
      <c r="Y207" s="1542"/>
      <c r="Z207" s="1542"/>
      <c r="AA207" s="1542"/>
      <c r="AB207" s="1542"/>
      <c r="AC207" s="1542"/>
      <c r="AD207" s="1542"/>
      <c r="AE207" s="1542"/>
    </row>
    <row r="208" spans="1:31" ht="11.25" customHeight="1">
      <c r="A208" s="898"/>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8"/>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6512" hidden="1" customWidth="1"/>
    <col min="2" max="2" width="3.5703125" style="1817" hidden="1" customWidth="1"/>
    <col min="3" max="3" width="3.7109375" style="2059" customWidth="1"/>
    <col min="4" max="4" width="7.7109375" style="2059" customWidth="1"/>
    <col min="5" max="5" width="69.85546875" style="2059" customWidth="1"/>
    <col min="6" max="6" width="11.140625" style="2059" customWidth="1"/>
    <col min="7" max="8" width="44" style="2059" hidden="1" customWidth="1"/>
    <col min="9" max="10" width="44" style="1820" customWidth="1"/>
    <col min="11" max="11" width="74" style="2059" customWidth="1"/>
    <col min="12" max="12" width="3.7109375" style="2059" customWidth="1"/>
    <col min="13" max="23" width="10.5703125" style="2059"/>
  </cols>
  <sheetData>
    <row r="1" spans="1:12" s="1821" customFormat="1" ht="11.25" hidden="1" customHeight="1">
      <c r="A1" s="461"/>
      <c r="B1" s="437"/>
      <c r="G1" s="351">
        <v>4</v>
      </c>
      <c r="I1" s="351">
        <v>4</v>
      </c>
      <c r="K1" s="351">
        <v>5</v>
      </c>
    </row>
    <row r="2" spans="1:12" ht="3" customHeight="1"/>
    <row r="3" spans="1:12" ht="75" customHeight="1">
      <c r="D3" s="66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6623"/>
      <c r="F3" s="6624"/>
    </row>
    <row r="4" spans="1:12" s="1820" customFormat="1" ht="20.25" customHeight="1">
      <c r="A4" s="860"/>
      <c r="B4" s="437"/>
      <c r="D4" s="6728" t="str">
        <f>IF(org=0,"Не определено",org)</f>
        <v>ООО "Марикоммунэнерго"</v>
      </c>
      <c r="E4" s="6729"/>
      <c r="F4" s="6730"/>
    </row>
    <row r="5" spans="1:12" ht="11.25" customHeight="1">
      <c r="C5" s="435"/>
      <c r="D5" s="511"/>
      <c r="E5" s="511"/>
      <c r="F5" s="511"/>
      <c r="G5" s="511"/>
      <c r="H5" s="669"/>
      <c r="I5" s="511"/>
      <c r="J5" s="669"/>
      <c r="K5" s="511"/>
    </row>
    <row r="6" spans="1:12" ht="0.75" customHeight="1">
      <c r="C6" s="435"/>
      <c r="D6" s="435"/>
      <c r="E6" s="448"/>
      <c r="F6" s="535"/>
      <c r="G6" s="929"/>
      <c r="H6" s="929"/>
      <c r="I6" s="929" t="s">
        <v>183</v>
      </c>
      <c r="J6" s="929"/>
    </row>
    <row r="7" spans="1:12" ht="11.25" customHeight="1">
      <c r="D7" s="630"/>
      <c r="E7" s="6838" t="s">
        <v>174</v>
      </c>
      <c r="F7" s="6839"/>
      <c r="G7" s="6857" t="str">
        <f>IF(G6="","",INDEX(DIFFERENTIATION_UNMERGE_VD,MATCH(G6,DIFFERENTIATION_ID_DIFF,0)))</f>
        <v/>
      </c>
      <c r="H7" s="6858"/>
      <c r="I7" s="6857">
        <f>IF(I6="","",INDEX(DIFFERENTIATION_UNMERGE_VD,MATCH(I6,DIFFERENTIATION_ID_DIFF,0)))</f>
        <v>0</v>
      </c>
      <c r="J7" s="6858"/>
      <c r="K7" s="6693"/>
      <c r="L7" s="435"/>
    </row>
    <row r="8" spans="1:12" ht="11.25" customHeight="1">
      <c r="A8" s="623"/>
      <c r="D8" s="630"/>
      <c r="E8" s="6838" t="s">
        <v>681</v>
      </c>
      <c r="F8" s="6839"/>
      <c r="G8" s="6857" t="str">
        <f>IF(G6="","",INDEX(DIFFERENTIATION_UNMERGE_AREA,MATCH(G6,DIFFERENTIATION_ID_DIFF,0)))</f>
        <v/>
      </c>
      <c r="H8" s="6858"/>
      <c r="I8" s="6857" t="str">
        <f>IF(I6="","",INDEX(DIFFERENTIATION_UNMERGE_AREA,MATCH(I6,DIFFERENTIATION_ID_DIFF,0)))</f>
        <v/>
      </c>
      <c r="J8" s="6858"/>
      <c r="K8" s="6712"/>
      <c r="L8" s="435"/>
    </row>
    <row r="9" spans="1:12" ht="11.25" customHeight="1">
      <c r="A9" s="623"/>
      <c r="D9" s="630"/>
      <c r="E9" s="6838" t="s">
        <v>682</v>
      </c>
      <c r="F9" s="6839"/>
      <c r="G9" s="6857" t="str">
        <f>IF(G6="","",INDEX(DIFFERENTIATION_UNMERGE_SYSTEM,MATCH(G6,DIFFERENTIATION_ID_DIFF,0)))</f>
        <v/>
      </c>
      <c r="H9" s="6858"/>
      <c r="I9" s="6857" t="str">
        <f>IF(I6="","",INDEX(DIFFERENTIATION_UNMERGE_SYSTEM,MATCH(I6,DIFFERENTIATION_ID_DIFF,0)))</f>
        <v>без дифференциации</v>
      </c>
      <c r="J9" s="6858"/>
      <c r="K9" s="6712"/>
      <c r="L9" s="435"/>
    </row>
    <row r="10" spans="1:12" s="1820" customFormat="1" ht="11.25" customHeight="1">
      <c r="A10" s="928"/>
      <c r="B10" s="437"/>
      <c r="D10" s="6600" t="s">
        <v>418</v>
      </c>
      <c r="E10" s="6605"/>
      <c r="F10" s="6605"/>
      <c r="G10" s="6605"/>
      <c r="H10" s="6605"/>
      <c r="I10" s="6605"/>
      <c r="J10" s="6599"/>
      <c r="K10" s="6712"/>
      <c r="L10" s="435"/>
    </row>
    <row r="11" spans="1:12" s="1822" customFormat="1" ht="22.5" customHeight="1">
      <c r="A11" s="6783"/>
      <c r="B11" s="6783"/>
      <c r="C11" s="578"/>
      <c r="D11" s="622" t="s">
        <v>87</v>
      </c>
      <c r="E11" s="624" t="s">
        <v>838</v>
      </c>
      <c r="F11" s="624" t="s">
        <v>683</v>
      </c>
      <c r="G11" s="392" t="s">
        <v>421</v>
      </c>
      <c r="H11" s="392" t="s">
        <v>510</v>
      </c>
      <c r="I11" s="724" t="s">
        <v>421</v>
      </c>
      <c r="J11" s="725" t="s">
        <v>510</v>
      </c>
      <c r="K11" s="6742"/>
      <c r="L11" s="579"/>
    </row>
    <row r="12" spans="1:12" s="1817" customFormat="1" ht="10.5" customHeight="1">
      <c r="A12" s="861"/>
      <c r="D12" s="932" t="s">
        <v>178</v>
      </c>
      <c r="E12" s="932" t="s">
        <v>98</v>
      </c>
      <c r="F12" s="932" t="s">
        <v>89</v>
      </c>
      <c r="G12" s="933" t="str">
        <f>G1&amp;".1"</f>
        <v>4.1</v>
      </c>
      <c r="H12" s="933" t="str">
        <f>G1&amp;".2"</f>
        <v>4.2</v>
      </c>
      <c r="I12" s="933" t="str">
        <f>I1&amp;".1"</f>
        <v>4.1</v>
      </c>
      <c r="J12" s="933" t="str">
        <f>I1&amp;".2"</f>
        <v>4.2</v>
      </c>
      <c r="K12" s="933"/>
    </row>
    <row r="13" spans="1:12" ht="22.5" customHeight="1">
      <c r="A13" s="6856" t="s">
        <v>839</v>
      </c>
      <c r="D13" s="862" t="s">
        <v>178</v>
      </c>
      <c r="E13" s="199" t="s">
        <v>840</v>
      </c>
      <c r="F13" s="581" t="s">
        <v>841</v>
      </c>
      <c r="G13" s="482"/>
      <c r="H13" s="582"/>
      <c r="I13" s="482"/>
      <c r="J13" s="582"/>
      <c r="K13" s="208" t="s">
        <v>842</v>
      </c>
      <c r="L13" s="639"/>
    </row>
    <row r="14" spans="1:12" ht="22.5" customHeight="1">
      <c r="A14" s="6856"/>
      <c r="D14" s="464" t="s">
        <v>98</v>
      </c>
      <c r="E14" s="199" t="s">
        <v>843</v>
      </c>
      <c r="F14" s="581" t="s">
        <v>844</v>
      </c>
      <c r="G14" s="482"/>
      <c r="H14" s="583"/>
      <c r="I14" s="482"/>
      <c r="J14" s="583"/>
      <c r="K14" s="208" t="s">
        <v>845</v>
      </c>
      <c r="L14" s="639"/>
    </row>
    <row r="15" spans="1:12" s="1820" customFormat="1" ht="78.75" customHeight="1">
      <c r="A15" s="6856"/>
      <c r="B15" s="437"/>
      <c r="D15" s="862" t="s">
        <v>89</v>
      </c>
      <c r="E15" s="626" t="s">
        <v>846</v>
      </c>
      <c r="F15" s="859" t="s">
        <v>424</v>
      </c>
      <c r="G15" s="859" t="s">
        <v>424</v>
      </c>
      <c r="H15" s="37"/>
      <c r="I15" s="859" t="s">
        <v>424</v>
      </c>
      <c r="J15" s="37"/>
      <c r="K15" s="208" t="s">
        <v>847</v>
      </c>
      <c r="L15" s="639"/>
    </row>
    <row r="16" spans="1:12" s="1820" customFormat="1" ht="22.5" customHeight="1">
      <c r="A16" s="6856"/>
      <c r="B16" s="437"/>
      <c r="D16" s="862" t="s">
        <v>444</v>
      </c>
      <c r="E16" s="863" t="s">
        <v>848</v>
      </c>
      <c r="F16" s="859" t="s">
        <v>849</v>
      </c>
      <c r="G16" s="734"/>
      <c r="H16" s="37"/>
      <c r="I16" s="734"/>
      <c r="J16" s="37"/>
      <c r="K16" s="208"/>
      <c r="L16" s="639"/>
    </row>
    <row r="17" spans="1:23" s="1820" customFormat="1" ht="22.5" customHeight="1">
      <c r="A17" s="6856"/>
      <c r="B17" s="437"/>
      <c r="D17" s="862" t="s">
        <v>452</v>
      </c>
      <c r="E17" s="863" t="s">
        <v>850</v>
      </c>
      <c r="F17" s="859" t="s">
        <v>851</v>
      </c>
      <c r="G17" s="734"/>
      <c r="H17" s="37"/>
      <c r="I17" s="734"/>
      <c r="J17" s="37"/>
      <c r="K17" s="208"/>
      <c r="L17" s="639"/>
    </row>
    <row r="18" spans="1:23" s="1820" customFormat="1" ht="33.75" customHeight="1">
      <c r="A18" s="6856"/>
      <c r="B18" s="437"/>
      <c r="D18" s="862" t="s">
        <v>454</v>
      </c>
      <c r="E18" s="863" t="s">
        <v>852</v>
      </c>
      <c r="F18" s="859" t="s">
        <v>688</v>
      </c>
      <c r="G18" s="601"/>
      <c r="H18" s="37"/>
      <c r="I18" s="601"/>
      <c r="J18" s="37"/>
      <c r="K18" s="208"/>
      <c r="L18" s="639"/>
    </row>
    <row r="19" spans="1:23" ht="101.25" customHeight="1">
      <c r="A19" s="6856"/>
      <c r="D19" s="862" t="s">
        <v>90</v>
      </c>
      <c r="E19" s="199" t="s">
        <v>853</v>
      </c>
      <c r="F19" s="581" t="s">
        <v>663</v>
      </c>
      <c r="G19" s="584"/>
      <c r="H19" s="583"/>
      <c r="I19" s="864"/>
      <c r="J19" s="583"/>
      <c r="K19" s="208" t="s">
        <v>854</v>
      </c>
      <c r="L19" s="639"/>
    </row>
    <row r="20" spans="1:23" s="1820" customFormat="1" ht="18.75" customHeight="1">
      <c r="A20" s="6856"/>
      <c r="C20" s="865"/>
      <c r="D20" s="862" t="s">
        <v>784</v>
      </c>
      <c r="E20" s="863" t="s">
        <v>855</v>
      </c>
      <c r="F20" s="859" t="s">
        <v>424</v>
      </c>
      <c r="G20" s="859" t="s">
        <v>424</v>
      </c>
      <c r="H20" s="858" t="s">
        <v>424</v>
      </c>
      <c r="I20" s="859" t="s">
        <v>424</v>
      </c>
      <c r="J20" s="858" t="s">
        <v>424</v>
      </c>
      <c r="K20" s="857"/>
      <c r="L20" s="639"/>
      <c r="W20" s="596"/>
    </row>
    <row r="21" spans="1:23" s="1820" customFormat="1" ht="33.75" customHeight="1">
      <c r="A21" s="6856"/>
      <c r="C21" s="865"/>
      <c r="D21" s="862" t="s">
        <v>787</v>
      </c>
      <c r="E21" s="501" t="s">
        <v>856</v>
      </c>
      <c r="F21" s="859" t="s">
        <v>857</v>
      </c>
      <c r="G21" s="852"/>
      <c r="H21" s="37"/>
      <c r="I21" s="852"/>
      <c r="J21" s="37"/>
      <c r="K21" s="857"/>
      <c r="L21" s="639"/>
      <c r="W21" s="596"/>
    </row>
    <row r="22" spans="1:23" s="1820" customFormat="1" ht="33.75" customHeight="1">
      <c r="A22" s="6856"/>
      <c r="C22" s="865"/>
      <c r="D22" s="862" t="s">
        <v>790</v>
      </c>
      <c r="E22" s="501" t="s">
        <v>858</v>
      </c>
      <c r="F22" s="859" t="s">
        <v>859</v>
      </c>
      <c r="G22" s="852"/>
      <c r="H22" s="37"/>
      <c r="I22" s="852"/>
      <c r="J22" s="37"/>
      <c r="K22" s="857"/>
      <c r="L22" s="639"/>
      <c r="W22" s="596"/>
    </row>
    <row r="23" spans="1:23" s="1820" customFormat="1" ht="22.5" customHeight="1">
      <c r="A23" s="6856"/>
      <c r="C23" s="865"/>
      <c r="D23" s="862" t="s">
        <v>827</v>
      </c>
      <c r="E23" s="863" t="s">
        <v>860</v>
      </c>
      <c r="F23" s="859" t="s">
        <v>424</v>
      </c>
      <c r="G23" s="859" t="s">
        <v>424</v>
      </c>
      <c r="H23" s="858" t="s">
        <v>424</v>
      </c>
      <c r="I23" s="859" t="s">
        <v>424</v>
      </c>
      <c r="J23" s="858" t="s">
        <v>424</v>
      </c>
      <c r="K23" s="857"/>
      <c r="L23" s="639"/>
      <c r="W23" s="596"/>
    </row>
    <row r="24" spans="1:23" s="1820" customFormat="1" ht="22.5" customHeight="1">
      <c r="A24" s="6856"/>
      <c r="C24" s="865"/>
      <c r="D24" s="862" t="s">
        <v>861</v>
      </c>
      <c r="E24" s="501" t="s">
        <v>862</v>
      </c>
      <c r="F24" s="859" t="s">
        <v>863</v>
      </c>
      <c r="G24" s="852"/>
      <c r="H24" s="606"/>
      <c r="I24" s="852"/>
      <c r="J24" s="606"/>
      <c r="K24" s="857"/>
      <c r="L24" s="639"/>
      <c r="W24" s="596"/>
    </row>
    <row r="25" spans="1:23" s="1820" customFormat="1" ht="22.5" customHeight="1">
      <c r="A25" s="6856"/>
      <c r="C25" s="865"/>
      <c r="D25" s="862" t="s">
        <v>864</v>
      </c>
      <c r="E25" s="501" t="s">
        <v>865</v>
      </c>
      <c r="F25" s="859" t="s">
        <v>424</v>
      </c>
      <c r="G25" s="859" t="s">
        <v>424</v>
      </c>
      <c r="H25" s="858" t="s">
        <v>424</v>
      </c>
      <c r="I25" s="859" t="s">
        <v>424</v>
      </c>
      <c r="J25" s="858" t="s">
        <v>424</v>
      </c>
      <c r="K25" s="857"/>
      <c r="L25" s="639"/>
      <c r="W25" s="596"/>
    </row>
    <row r="26" spans="1:23" s="1820" customFormat="1" ht="18.75" customHeight="1">
      <c r="A26" s="6856"/>
      <c r="C26" s="865"/>
      <c r="D26" s="862" t="s">
        <v>866</v>
      </c>
      <c r="E26" s="478" t="s">
        <v>867</v>
      </c>
      <c r="F26" s="859" t="s">
        <v>868</v>
      </c>
      <c r="G26" s="601"/>
      <c r="H26" s="606"/>
      <c r="I26" s="601"/>
      <c r="J26" s="606"/>
      <c r="K26" s="857"/>
      <c r="L26" s="639"/>
      <c r="W26" s="596"/>
    </row>
    <row r="27" spans="1:23" s="1820" customFormat="1" ht="18.75" customHeight="1">
      <c r="A27" s="6856"/>
      <c r="C27" s="865"/>
      <c r="D27" s="862" t="s">
        <v>869</v>
      </c>
      <c r="E27" s="478" t="s">
        <v>870</v>
      </c>
      <c r="F27" s="859" t="s">
        <v>871</v>
      </c>
      <c r="G27" s="601"/>
      <c r="H27" s="606"/>
      <c r="I27" s="601"/>
      <c r="J27" s="606"/>
      <c r="K27" s="857"/>
      <c r="L27" s="639"/>
      <c r="W27" s="596"/>
    </row>
    <row r="28" spans="1:23" s="1820" customFormat="1" ht="18.75" customHeight="1">
      <c r="A28" s="6856"/>
      <c r="C28" s="865"/>
      <c r="D28" s="862" t="s">
        <v>872</v>
      </c>
      <c r="E28" s="501" t="s">
        <v>873</v>
      </c>
      <c r="F28" s="859" t="s">
        <v>424</v>
      </c>
      <c r="G28" s="859" t="s">
        <v>424</v>
      </c>
      <c r="H28" s="858" t="s">
        <v>424</v>
      </c>
      <c r="I28" s="859" t="s">
        <v>424</v>
      </c>
      <c r="J28" s="858" t="s">
        <v>424</v>
      </c>
      <c r="K28" s="857"/>
      <c r="L28" s="639"/>
      <c r="W28" s="596"/>
    </row>
    <row r="29" spans="1:23" s="1820" customFormat="1" ht="18.75" customHeight="1">
      <c r="A29" s="6856"/>
      <c r="C29" s="865"/>
      <c r="D29" s="862" t="s">
        <v>874</v>
      </c>
      <c r="E29" s="478" t="s">
        <v>867</v>
      </c>
      <c r="F29" s="859" t="s">
        <v>875</v>
      </c>
      <c r="G29" s="601"/>
      <c r="H29" s="606"/>
      <c r="I29" s="601"/>
      <c r="J29" s="606"/>
      <c r="K29" s="857"/>
      <c r="L29" s="639"/>
      <c r="W29" s="596"/>
    </row>
    <row r="30" spans="1:23" s="1820" customFormat="1" ht="18.75" customHeight="1">
      <c r="A30" s="6856"/>
      <c r="C30" s="865"/>
      <c r="D30" s="862" t="s">
        <v>876</v>
      </c>
      <c r="E30" s="478" t="s">
        <v>877</v>
      </c>
      <c r="F30" s="859" t="s">
        <v>878</v>
      </c>
      <c r="G30" s="601"/>
      <c r="H30" s="606"/>
      <c r="I30" s="601"/>
      <c r="J30" s="606"/>
      <c r="K30" s="857"/>
      <c r="L30" s="639"/>
      <c r="W30" s="596"/>
    </row>
    <row r="31" spans="1:23" ht="126.75" customHeight="1">
      <c r="A31" s="6856"/>
      <c r="D31" s="862" t="s">
        <v>115</v>
      </c>
      <c r="E31" s="199" t="s">
        <v>879</v>
      </c>
      <c r="F31" s="581" t="s">
        <v>675</v>
      </c>
      <c r="G31" s="482"/>
      <c r="H31" s="583"/>
      <c r="I31" s="482"/>
      <c r="J31" s="583"/>
      <c r="K31" s="208" t="s">
        <v>880</v>
      </c>
      <c r="L31" s="639"/>
    </row>
    <row r="32" spans="1:23" ht="56.25" customHeight="1">
      <c r="A32" s="6856"/>
      <c r="D32" s="862" t="s">
        <v>91</v>
      </c>
      <c r="E32" s="199" t="s">
        <v>881</v>
      </c>
      <c r="F32" s="464" t="s">
        <v>851</v>
      </c>
      <c r="G32" s="482"/>
      <c r="H32" s="583"/>
      <c r="I32" s="482"/>
      <c r="J32" s="583"/>
      <c r="K32" s="208" t="s">
        <v>882</v>
      </c>
      <c r="L32" s="639"/>
    </row>
    <row r="33" spans="1:11" ht="11.25" customHeight="1">
      <c r="A33" s="6856"/>
      <c r="E33" s="585"/>
      <c r="F33" s="102"/>
      <c r="G33" s="102"/>
      <c r="H33" s="102"/>
      <c r="I33" s="102"/>
      <c r="J33" s="102"/>
      <c r="K33" s="102"/>
    </row>
    <row r="34" spans="1:11" ht="12.75" customHeight="1">
      <c r="A34" s="6856"/>
      <c r="D34" s="2">
        <v>1</v>
      </c>
      <c r="E34" s="262" t="s">
        <v>883</v>
      </c>
    </row>
    <row r="35" spans="1:11" ht="11.25" customHeight="1">
      <c r="A35" s="6856"/>
      <c r="D35" s="297"/>
      <c r="E35" s="262" t="s">
        <v>884</v>
      </c>
    </row>
    <row r="36" spans="1:11" s="1822" customFormat="1" ht="11.25" customHeight="1">
      <c r="A36" s="940"/>
      <c r="B36" s="444"/>
      <c r="D36" s="941"/>
      <c r="E36" s="942"/>
    </row>
    <row r="37" spans="1:11" s="1820" customFormat="1" ht="22.5" hidden="1" customHeight="1">
      <c r="A37" s="6856" t="s">
        <v>885</v>
      </c>
      <c r="B37" s="437"/>
      <c r="D37" s="862">
        <v>1</v>
      </c>
      <c r="E37" s="626" t="s">
        <v>886</v>
      </c>
      <c r="F37" s="581" t="s">
        <v>841</v>
      </c>
      <c r="G37" s="482"/>
      <c r="H37" s="445"/>
      <c r="I37" s="482"/>
      <c r="J37" s="445"/>
      <c r="K37" s="208" t="s">
        <v>887</v>
      </c>
    </row>
    <row r="38" spans="1:11" s="1820" customFormat="1" ht="22.5" hidden="1" customHeight="1">
      <c r="A38" s="6856"/>
      <c r="B38" s="437"/>
      <c r="D38" s="590" t="s">
        <v>98</v>
      </c>
      <c r="E38" s="939" t="s">
        <v>888</v>
      </c>
      <c r="F38" s="943" t="s">
        <v>663</v>
      </c>
      <c r="G38" s="943" t="s">
        <v>663</v>
      </c>
      <c r="H38" s="937"/>
      <c r="I38" s="943" t="s">
        <v>663</v>
      </c>
      <c r="J38" s="937"/>
      <c r="K38" s="938"/>
    </row>
    <row r="39" spans="1:11" s="1820" customFormat="1" ht="33.75" hidden="1" customHeight="1">
      <c r="A39" s="6856"/>
      <c r="B39" s="437"/>
      <c r="D39" s="586" t="s">
        <v>742</v>
      </c>
      <c r="E39" s="642" t="s">
        <v>889</v>
      </c>
      <c r="F39" s="581" t="s">
        <v>890</v>
      </c>
      <c r="G39" s="589"/>
      <c r="H39" s="930"/>
      <c r="I39" s="589"/>
      <c r="J39" s="930"/>
      <c r="K39" s="208" t="s">
        <v>891</v>
      </c>
    </row>
    <row r="40" spans="1:11" s="1820" customFormat="1" ht="33.75" hidden="1" customHeight="1">
      <c r="A40" s="6856"/>
      <c r="B40" s="437"/>
      <c r="D40" s="586" t="s">
        <v>745</v>
      </c>
      <c r="E40" s="642" t="s">
        <v>892</v>
      </c>
      <c r="F40" s="934" t="s">
        <v>893</v>
      </c>
      <c r="G40" s="659"/>
      <c r="H40" s="930"/>
      <c r="I40" s="659"/>
      <c r="J40" s="930"/>
      <c r="K40" s="208" t="s">
        <v>894</v>
      </c>
    </row>
    <row r="41" spans="1:11" s="1820" customFormat="1" ht="22.5" hidden="1" customHeight="1">
      <c r="A41" s="6856"/>
      <c r="B41" s="437"/>
      <c r="D41" s="586" t="s">
        <v>89</v>
      </c>
      <c r="E41" s="641" t="s">
        <v>895</v>
      </c>
      <c r="F41" s="581" t="s">
        <v>663</v>
      </c>
      <c r="G41" s="581" t="s">
        <v>663</v>
      </c>
      <c r="H41" s="931"/>
      <c r="I41" s="581" t="s">
        <v>663</v>
      </c>
      <c r="J41" s="931"/>
      <c r="K41" s="221"/>
    </row>
    <row r="42" spans="1:11" s="1820" customFormat="1" ht="45" hidden="1" customHeight="1">
      <c r="A42" s="6856"/>
      <c r="B42" s="437"/>
      <c r="D42" s="586" t="s">
        <v>444</v>
      </c>
      <c r="E42" s="642" t="s">
        <v>896</v>
      </c>
      <c r="F42" s="581" t="s">
        <v>675</v>
      </c>
      <c r="G42" s="482"/>
      <c r="H42" s="931"/>
      <c r="I42" s="482"/>
      <c r="J42" s="931"/>
      <c r="K42" s="221" t="s">
        <v>897</v>
      </c>
    </row>
    <row r="43" spans="1:11" s="1820" customFormat="1" ht="45" hidden="1" customHeight="1">
      <c r="A43" s="6856"/>
      <c r="B43" s="437"/>
      <c r="D43" s="586" t="s">
        <v>452</v>
      </c>
      <c r="E43" s="588" t="s">
        <v>898</v>
      </c>
      <c r="F43" s="935" t="s">
        <v>675</v>
      </c>
      <c r="G43" s="660"/>
      <c r="H43" s="930"/>
      <c r="I43" s="660"/>
      <c r="J43" s="930"/>
      <c r="K43" s="221" t="s">
        <v>899</v>
      </c>
    </row>
    <row r="44" spans="1:11" s="1820" customFormat="1" ht="11.25" hidden="1" customHeight="1">
      <c r="A44" s="6856"/>
      <c r="B44" s="437"/>
      <c r="D44" s="586" t="s">
        <v>90</v>
      </c>
      <c r="E44" s="587" t="s">
        <v>900</v>
      </c>
      <c r="F44" s="581" t="s">
        <v>890</v>
      </c>
      <c r="G44" s="589"/>
      <c r="H44" s="930"/>
      <c r="I44" s="589"/>
      <c r="J44" s="930"/>
      <c r="K44" s="208"/>
    </row>
    <row r="45" spans="1:11" s="1820" customFormat="1" ht="11.25" hidden="1" customHeight="1">
      <c r="A45" s="6856"/>
      <c r="B45" s="437"/>
      <c r="D45" s="586" t="s">
        <v>784</v>
      </c>
      <c r="E45" s="588" t="s">
        <v>901</v>
      </c>
      <c r="F45" s="581" t="s">
        <v>890</v>
      </c>
      <c r="G45" s="589"/>
      <c r="H45" s="930"/>
      <c r="I45" s="589"/>
      <c r="J45" s="930"/>
      <c r="K45" s="208"/>
    </row>
    <row r="46" spans="1:11" s="1820" customFormat="1" ht="11.25" hidden="1" customHeight="1">
      <c r="A46" s="6856"/>
      <c r="B46" s="437"/>
      <c r="D46" s="586" t="s">
        <v>827</v>
      </c>
      <c r="E46" s="588" t="s">
        <v>902</v>
      </c>
      <c r="F46" s="581" t="s">
        <v>890</v>
      </c>
      <c r="G46" s="589"/>
      <c r="H46" s="930"/>
      <c r="I46" s="589"/>
      <c r="J46" s="930"/>
      <c r="K46" s="208"/>
    </row>
    <row r="47" spans="1:11" s="1820" customFormat="1" ht="11.25" hidden="1" customHeight="1">
      <c r="A47" s="6856"/>
      <c r="B47" s="437"/>
      <c r="D47" s="586" t="s">
        <v>830</v>
      </c>
      <c r="E47" s="588" t="s">
        <v>903</v>
      </c>
      <c r="F47" s="581" t="s">
        <v>890</v>
      </c>
      <c r="G47" s="589"/>
      <c r="H47" s="930"/>
      <c r="I47" s="589"/>
      <c r="J47" s="930"/>
      <c r="K47" s="208"/>
    </row>
    <row r="48" spans="1:11" s="1820" customFormat="1" ht="11.25" hidden="1" customHeight="1">
      <c r="A48" s="6856"/>
      <c r="B48" s="437"/>
      <c r="D48" s="586" t="s">
        <v>904</v>
      </c>
      <c r="E48" s="592" t="s">
        <v>905</v>
      </c>
      <c r="F48" s="581" t="s">
        <v>890</v>
      </c>
      <c r="G48" s="589"/>
      <c r="H48" s="930"/>
      <c r="I48" s="589"/>
      <c r="J48" s="930"/>
      <c r="K48" s="208"/>
    </row>
    <row r="49" spans="1:11" s="1820" customFormat="1" ht="11.25" hidden="1" customHeight="1">
      <c r="A49" s="6856"/>
      <c r="B49" s="437"/>
      <c r="D49" s="586" t="s">
        <v>906</v>
      </c>
      <c r="E49" s="592" t="s">
        <v>907</v>
      </c>
      <c r="F49" s="581" t="s">
        <v>890</v>
      </c>
      <c r="G49" s="589"/>
      <c r="H49" s="930"/>
      <c r="I49" s="589"/>
      <c r="J49" s="930"/>
      <c r="K49" s="208"/>
    </row>
    <row r="50" spans="1:11" s="1820" customFormat="1" ht="11.25" hidden="1" customHeight="1">
      <c r="A50" s="6856"/>
      <c r="B50" s="437"/>
      <c r="D50" s="586" t="s">
        <v>908</v>
      </c>
      <c r="E50" s="588" t="s">
        <v>909</v>
      </c>
      <c r="F50" s="581" t="s">
        <v>890</v>
      </c>
      <c r="G50" s="589"/>
      <c r="H50" s="930"/>
      <c r="I50" s="589"/>
      <c r="J50" s="930"/>
      <c r="K50" s="208"/>
    </row>
    <row r="51" spans="1:11" s="1820" customFormat="1" ht="11.25" hidden="1" customHeight="1">
      <c r="A51" s="6856"/>
      <c r="B51" s="437"/>
      <c r="D51" s="586" t="s">
        <v>910</v>
      </c>
      <c r="E51" s="588" t="s">
        <v>911</v>
      </c>
      <c r="F51" s="581" t="s">
        <v>890</v>
      </c>
      <c r="G51" s="589"/>
      <c r="H51" s="930"/>
      <c r="I51" s="589"/>
      <c r="J51" s="930"/>
      <c r="K51" s="208"/>
    </row>
    <row r="52" spans="1:11" s="1820" customFormat="1" ht="45" hidden="1" customHeight="1">
      <c r="A52" s="6856"/>
      <c r="B52" s="437"/>
      <c r="D52" s="586" t="s">
        <v>115</v>
      </c>
      <c r="E52" s="587" t="s">
        <v>912</v>
      </c>
      <c r="F52" s="581" t="s">
        <v>890</v>
      </c>
      <c r="G52" s="589"/>
      <c r="H52" s="930"/>
      <c r="I52" s="589"/>
      <c r="J52" s="930"/>
      <c r="K52" s="208"/>
    </row>
    <row r="53" spans="1:11" s="1820" customFormat="1" ht="11.25" hidden="1" customHeight="1">
      <c r="A53" s="6856"/>
      <c r="B53" s="437"/>
      <c r="D53" s="586" t="s">
        <v>433</v>
      </c>
      <c r="E53" s="588" t="s">
        <v>901</v>
      </c>
      <c r="F53" s="581" t="s">
        <v>890</v>
      </c>
      <c r="G53" s="589"/>
      <c r="H53" s="930"/>
      <c r="I53" s="589"/>
      <c r="J53" s="930"/>
      <c r="K53" s="208"/>
    </row>
    <row r="54" spans="1:11" s="1820" customFormat="1" ht="11.25" hidden="1" customHeight="1">
      <c r="A54" s="6856"/>
      <c r="B54" s="437"/>
      <c r="D54" s="586" t="s">
        <v>435</v>
      </c>
      <c r="E54" s="588" t="s">
        <v>902</v>
      </c>
      <c r="F54" s="581" t="s">
        <v>890</v>
      </c>
      <c r="G54" s="589"/>
      <c r="H54" s="930"/>
      <c r="I54" s="589"/>
      <c r="J54" s="930"/>
      <c r="K54" s="208"/>
    </row>
    <row r="55" spans="1:11" s="1820" customFormat="1" ht="11.25" hidden="1" customHeight="1">
      <c r="A55" s="6856"/>
      <c r="B55" s="437"/>
      <c r="D55" s="586" t="s">
        <v>438</v>
      </c>
      <c r="E55" s="588" t="s">
        <v>903</v>
      </c>
      <c r="F55" s="581" t="s">
        <v>890</v>
      </c>
      <c r="G55" s="589"/>
      <c r="H55" s="930"/>
      <c r="I55" s="589"/>
      <c r="J55" s="930"/>
      <c r="K55" s="208"/>
    </row>
    <row r="56" spans="1:11" s="1820" customFormat="1" ht="11.25" hidden="1" customHeight="1">
      <c r="A56" s="6856"/>
      <c r="B56" s="437"/>
      <c r="D56" s="586" t="s">
        <v>913</v>
      </c>
      <c r="E56" s="592" t="s">
        <v>905</v>
      </c>
      <c r="F56" s="581" t="s">
        <v>890</v>
      </c>
      <c r="G56" s="589"/>
      <c r="H56" s="930"/>
      <c r="I56" s="589"/>
      <c r="J56" s="930"/>
      <c r="K56" s="208"/>
    </row>
    <row r="57" spans="1:11" s="1820" customFormat="1" ht="11.25" hidden="1" customHeight="1">
      <c r="A57" s="6856"/>
      <c r="B57" s="437"/>
      <c r="D57" s="586" t="s">
        <v>914</v>
      </c>
      <c r="E57" s="592" t="s">
        <v>907</v>
      </c>
      <c r="F57" s="581" t="s">
        <v>890</v>
      </c>
      <c r="G57" s="589"/>
      <c r="H57" s="930"/>
      <c r="I57" s="589"/>
      <c r="J57" s="930"/>
      <c r="K57" s="208"/>
    </row>
    <row r="58" spans="1:11" s="1820" customFormat="1" ht="11.25" hidden="1" customHeight="1">
      <c r="A58" s="6856"/>
      <c r="B58" s="437"/>
      <c r="D58" s="586" t="s">
        <v>440</v>
      </c>
      <c r="E58" s="588" t="s">
        <v>909</v>
      </c>
      <c r="F58" s="581" t="s">
        <v>890</v>
      </c>
      <c r="G58" s="589"/>
      <c r="H58" s="930"/>
      <c r="I58" s="589"/>
      <c r="J58" s="930"/>
      <c r="K58" s="208"/>
    </row>
    <row r="59" spans="1:11" s="1820" customFormat="1" ht="11.25" hidden="1" customHeight="1">
      <c r="A59" s="6856"/>
      <c r="B59" s="437"/>
      <c r="D59" s="586" t="s">
        <v>915</v>
      </c>
      <c r="E59" s="588" t="s">
        <v>911</v>
      </c>
      <c r="F59" s="581" t="s">
        <v>890</v>
      </c>
      <c r="G59" s="589"/>
      <c r="H59" s="930"/>
      <c r="I59" s="589"/>
      <c r="J59" s="930"/>
      <c r="K59" s="208"/>
    </row>
    <row r="60" spans="1:11" s="1820" customFormat="1" ht="33.75" hidden="1" customHeight="1">
      <c r="A60" s="6856"/>
      <c r="B60" s="437"/>
      <c r="D60" s="586" t="s">
        <v>91</v>
      </c>
      <c r="E60" s="587" t="s">
        <v>916</v>
      </c>
      <c r="F60" s="640" t="s">
        <v>675</v>
      </c>
      <c r="G60" s="660"/>
      <c r="H60" s="930"/>
      <c r="I60" s="660"/>
      <c r="J60" s="930"/>
      <c r="K60" s="221" t="s">
        <v>917</v>
      </c>
    </row>
    <row r="61" spans="1:11" s="1820" customFormat="1" ht="33.75" hidden="1" customHeight="1">
      <c r="A61" s="6856"/>
      <c r="B61" s="437"/>
      <c r="D61" s="586" t="s">
        <v>92</v>
      </c>
      <c r="E61" s="587" t="s">
        <v>918</v>
      </c>
      <c r="F61" s="645" t="s">
        <v>851</v>
      </c>
      <c r="G61" s="589"/>
      <c r="H61" s="930"/>
      <c r="I61" s="589"/>
      <c r="J61" s="930"/>
      <c r="K61" s="208"/>
    </row>
    <row r="62" spans="1:11" s="1820" customFormat="1" ht="22.5" hidden="1" customHeight="1">
      <c r="A62" s="6856"/>
      <c r="B62" s="437" t="s">
        <v>705</v>
      </c>
      <c r="D62" s="586" t="s">
        <v>128</v>
      </c>
      <c r="E62" s="587" t="s">
        <v>919</v>
      </c>
      <c r="F62" s="645" t="s">
        <v>424</v>
      </c>
      <c r="G62" s="316"/>
      <c r="H62" s="930"/>
      <c r="I62" s="316"/>
      <c r="J62" s="930"/>
      <c r="K62" s="208" t="s">
        <v>920</v>
      </c>
    </row>
    <row r="63" spans="1:11" s="1820" customFormat="1" ht="45" hidden="1" customHeight="1">
      <c r="A63" s="6856"/>
      <c r="B63" s="437" t="s">
        <v>705</v>
      </c>
      <c r="D63" s="586" t="s">
        <v>921</v>
      </c>
      <c r="E63" s="588" t="s">
        <v>922</v>
      </c>
      <c r="F63" s="640" t="s">
        <v>424</v>
      </c>
      <c r="G63" s="316"/>
      <c r="H63" s="930"/>
      <c r="I63" s="316"/>
      <c r="J63" s="930"/>
      <c r="K63" s="208" t="s">
        <v>920</v>
      </c>
    </row>
    <row r="64" spans="1:11" s="1822" customFormat="1" ht="11.25" customHeight="1">
      <c r="A64" s="940"/>
      <c r="B64" s="444"/>
      <c r="D64" s="941"/>
      <c r="E64" s="942"/>
    </row>
    <row r="65" spans="1:11" s="1820" customFormat="1" ht="22.5" hidden="1" customHeight="1">
      <c r="A65" s="6856" t="s">
        <v>923</v>
      </c>
      <c r="B65" s="437"/>
      <c r="D65" s="586">
        <v>1</v>
      </c>
      <c r="E65" s="662" t="s">
        <v>924</v>
      </c>
      <c r="F65" s="658" t="s">
        <v>841</v>
      </c>
      <c r="G65" s="659"/>
      <c r="H65" s="936"/>
      <c r="I65" s="659"/>
      <c r="J65" s="936"/>
      <c r="K65" s="220" t="s">
        <v>925</v>
      </c>
    </row>
    <row r="66" spans="1:11" s="1820" customFormat="1" ht="56.25" hidden="1" customHeight="1">
      <c r="A66" s="6856"/>
      <c r="B66" s="437"/>
      <c r="D66" s="661" t="s">
        <v>98</v>
      </c>
      <c r="E66" s="626" t="s">
        <v>926</v>
      </c>
      <c r="F66" s="581" t="s">
        <v>663</v>
      </c>
      <c r="G66" s="581" t="s">
        <v>663</v>
      </c>
      <c r="H66" s="445"/>
      <c r="I66" s="581" t="s">
        <v>663</v>
      </c>
      <c r="J66" s="445"/>
      <c r="K66" s="208"/>
    </row>
    <row r="67" spans="1:11" s="1820" customFormat="1" ht="33.75" hidden="1" customHeight="1">
      <c r="A67" s="6856"/>
      <c r="B67" s="437"/>
      <c r="D67" s="661" t="s">
        <v>739</v>
      </c>
      <c r="E67" s="863" t="s">
        <v>927</v>
      </c>
      <c r="F67" s="581" t="s">
        <v>893</v>
      </c>
      <c r="G67" s="646"/>
      <c r="H67" s="445"/>
      <c r="I67" s="646"/>
      <c r="J67" s="445"/>
      <c r="K67" s="208"/>
    </row>
    <row r="68" spans="1:11" s="1820" customFormat="1" ht="22.5" hidden="1" customHeight="1">
      <c r="A68" s="6856"/>
      <c r="B68" s="437"/>
      <c r="D68" s="661" t="s">
        <v>425</v>
      </c>
      <c r="E68" s="863" t="s">
        <v>928</v>
      </c>
      <c r="F68" s="581" t="s">
        <v>893</v>
      </c>
      <c r="G68" s="646"/>
      <c r="H68" s="445"/>
      <c r="I68" s="646"/>
      <c r="J68" s="445"/>
      <c r="K68" s="208"/>
    </row>
    <row r="69" spans="1:11" s="1820" customFormat="1" ht="22.5" hidden="1" customHeight="1">
      <c r="A69" s="6856"/>
      <c r="B69" s="437"/>
      <c r="D69" s="661" t="s">
        <v>428</v>
      </c>
      <c r="E69" s="863" t="s">
        <v>929</v>
      </c>
      <c r="F69" s="640" t="s">
        <v>675</v>
      </c>
      <c r="G69" s="660"/>
      <c r="H69" s="445"/>
      <c r="I69" s="660"/>
      <c r="J69" s="445"/>
      <c r="K69" s="208"/>
    </row>
    <row r="70" spans="1:11" s="1820" customFormat="1" ht="22.5" hidden="1" customHeight="1">
      <c r="A70" s="6856"/>
      <c r="B70" s="437"/>
      <c r="D70" s="661" t="s">
        <v>759</v>
      </c>
      <c r="E70" s="863" t="s">
        <v>930</v>
      </c>
      <c r="F70" s="640" t="s">
        <v>675</v>
      </c>
      <c r="G70" s="660"/>
      <c r="H70" s="445"/>
      <c r="I70" s="660"/>
      <c r="J70" s="445"/>
      <c r="K70" s="208"/>
    </row>
    <row r="71" spans="1:11" s="1820" customFormat="1" ht="22.5" hidden="1" customHeight="1">
      <c r="A71" s="6856"/>
      <c r="B71" s="437"/>
      <c r="D71" s="586" t="s">
        <v>89</v>
      </c>
      <c r="E71" s="587" t="s">
        <v>931</v>
      </c>
      <c r="F71" s="581" t="s">
        <v>893</v>
      </c>
      <c r="G71" s="482"/>
      <c r="H71" s="937"/>
      <c r="I71" s="482"/>
      <c r="J71" s="937"/>
      <c r="K71" s="221"/>
    </row>
    <row r="72" spans="1:11" s="1820" customFormat="1" ht="56.25" hidden="1" customHeight="1">
      <c r="A72" s="6856"/>
      <c r="B72" s="437"/>
      <c r="D72" s="586" t="s">
        <v>90</v>
      </c>
      <c r="E72" s="587" t="s">
        <v>932</v>
      </c>
      <c r="F72" s="640" t="s">
        <v>675</v>
      </c>
      <c r="G72" s="660"/>
      <c r="H72" s="930"/>
      <c r="I72" s="660"/>
      <c r="J72" s="930"/>
      <c r="K72" s="221"/>
    </row>
    <row r="73" spans="1:11" s="1820" customFormat="1" ht="33.75" hidden="1" customHeight="1">
      <c r="A73" s="6856"/>
      <c r="B73" s="437"/>
      <c r="D73" s="586" t="s">
        <v>115</v>
      </c>
      <c r="E73" s="587" t="s">
        <v>933</v>
      </c>
      <c r="F73" s="645" t="s">
        <v>851</v>
      </c>
      <c r="G73" s="589"/>
      <c r="H73" s="930"/>
      <c r="I73" s="589"/>
      <c r="J73" s="930"/>
      <c r="K73" s="208"/>
    </row>
    <row r="74" spans="1:11" s="1820" customFormat="1" ht="22.5" hidden="1" customHeight="1">
      <c r="A74" s="6856"/>
      <c r="B74" s="437" t="s">
        <v>705</v>
      </c>
      <c r="D74" s="586" t="s">
        <v>91</v>
      </c>
      <c r="E74" s="587" t="s">
        <v>934</v>
      </c>
      <c r="F74" s="645" t="s">
        <v>424</v>
      </c>
      <c r="G74" s="316"/>
      <c r="H74" s="930"/>
      <c r="I74" s="316"/>
      <c r="J74" s="930"/>
      <c r="K74" s="208" t="s">
        <v>920</v>
      </c>
    </row>
    <row r="75" spans="1:11" s="1820" customFormat="1" ht="45" hidden="1" customHeight="1">
      <c r="A75" s="6856"/>
      <c r="B75" s="437" t="s">
        <v>705</v>
      </c>
      <c r="D75" s="586" t="s">
        <v>935</v>
      </c>
      <c r="E75" s="588" t="s">
        <v>936</v>
      </c>
      <c r="F75" s="640" t="s">
        <v>424</v>
      </c>
      <c r="G75" s="316"/>
      <c r="H75" s="930"/>
      <c r="I75" s="316"/>
      <c r="J75" s="930"/>
      <c r="K75" s="208" t="s">
        <v>920</v>
      </c>
    </row>
    <row r="76" spans="1:11" s="1822" customFormat="1" ht="11.25" customHeight="1">
      <c r="A76" s="940"/>
      <c r="B76" s="444"/>
      <c r="D76" s="941"/>
      <c r="E76" s="942"/>
    </row>
    <row r="77" spans="1:11" s="1820" customFormat="1" ht="11.25" hidden="1" customHeight="1">
      <c r="A77" s="6856" t="s">
        <v>937</v>
      </c>
      <c r="B77" s="437"/>
      <c r="D77" s="586">
        <v>1</v>
      </c>
      <c r="E77" s="587" t="s">
        <v>938</v>
      </c>
      <c r="F77" s="640" t="s">
        <v>841</v>
      </c>
      <c r="G77" s="643"/>
      <c r="H77" s="930"/>
      <c r="I77" s="643"/>
      <c r="J77" s="930"/>
      <c r="K77" s="208" t="s">
        <v>939</v>
      </c>
    </row>
    <row r="78" spans="1:11" s="1820" customFormat="1" ht="11.25" hidden="1" customHeight="1">
      <c r="A78" s="6856"/>
      <c r="B78" s="437"/>
      <c r="D78" s="586" t="s">
        <v>98</v>
      </c>
      <c r="E78" s="587" t="s">
        <v>940</v>
      </c>
      <c r="F78" s="640" t="s">
        <v>841</v>
      </c>
      <c r="G78" s="643"/>
      <c r="H78" s="930"/>
      <c r="I78" s="643"/>
      <c r="J78" s="930"/>
      <c r="K78" s="208" t="s">
        <v>941</v>
      </c>
    </row>
    <row r="79" spans="1:11" s="1820" customFormat="1" ht="22.5" hidden="1" customHeight="1">
      <c r="A79" s="6856"/>
      <c r="B79" s="437"/>
      <c r="D79" s="586" t="s">
        <v>89</v>
      </c>
      <c r="E79" s="641" t="s">
        <v>942</v>
      </c>
      <c r="F79" s="581" t="s">
        <v>890</v>
      </c>
      <c r="G79" s="643"/>
      <c r="H79" s="930"/>
      <c r="I79" s="643"/>
      <c r="J79" s="930"/>
      <c r="K79" s="208" t="s">
        <v>943</v>
      </c>
    </row>
    <row r="80" spans="1:11" s="1820" customFormat="1" ht="11.25" hidden="1" customHeight="1">
      <c r="A80" s="6856"/>
      <c r="B80" s="437"/>
      <c r="D80" s="586" t="s">
        <v>444</v>
      </c>
      <c r="E80" s="642" t="s">
        <v>944</v>
      </c>
      <c r="F80" s="581" t="s">
        <v>890</v>
      </c>
      <c r="G80" s="643"/>
      <c r="H80" s="930"/>
      <c r="I80" s="643"/>
      <c r="J80" s="930"/>
      <c r="K80" s="208"/>
    </row>
    <row r="81" spans="1:11" s="1820" customFormat="1" ht="11.25" hidden="1" customHeight="1">
      <c r="A81" s="6856"/>
      <c r="B81" s="437"/>
      <c r="D81" s="586" t="s">
        <v>452</v>
      </c>
      <c r="E81" s="642" t="s">
        <v>945</v>
      </c>
      <c r="F81" s="581" t="s">
        <v>890</v>
      </c>
      <c r="G81" s="643"/>
      <c r="H81" s="930"/>
      <c r="I81" s="643"/>
      <c r="J81" s="930"/>
      <c r="K81" s="208"/>
    </row>
    <row r="82" spans="1:11" s="1820" customFormat="1" ht="11.25" hidden="1" customHeight="1">
      <c r="A82" s="6856"/>
      <c r="B82" s="437"/>
      <c r="D82" s="586" t="s">
        <v>454</v>
      </c>
      <c r="E82" s="642" t="s">
        <v>946</v>
      </c>
      <c r="F82" s="581" t="s">
        <v>890</v>
      </c>
      <c r="G82" s="643"/>
      <c r="H82" s="930"/>
      <c r="I82" s="643"/>
      <c r="J82" s="930"/>
      <c r="K82" s="208"/>
    </row>
    <row r="83" spans="1:11" s="1820" customFormat="1" ht="11.25" hidden="1" customHeight="1">
      <c r="A83" s="6856"/>
      <c r="B83" s="437"/>
      <c r="D83" s="586" t="s">
        <v>456</v>
      </c>
      <c r="E83" s="642" t="s">
        <v>947</v>
      </c>
      <c r="F83" s="581" t="s">
        <v>890</v>
      </c>
      <c r="G83" s="643"/>
      <c r="H83" s="930"/>
      <c r="I83" s="643"/>
      <c r="J83" s="930"/>
      <c r="K83" s="208"/>
    </row>
    <row r="84" spans="1:11" s="1820" customFormat="1" ht="11.25" hidden="1" customHeight="1">
      <c r="A84" s="6856"/>
      <c r="B84" s="437"/>
      <c r="D84" s="586" t="s">
        <v>948</v>
      </c>
      <c r="E84" s="642" t="s">
        <v>949</v>
      </c>
      <c r="F84" s="581" t="s">
        <v>890</v>
      </c>
      <c r="G84" s="643"/>
      <c r="H84" s="930"/>
      <c r="I84" s="643"/>
      <c r="J84" s="930"/>
      <c r="K84" s="208"/>
    </row>
    <row r="85" spans="1:11" s="1820" customFormat="1" ht="11.25" hidden="1" customHeight="1">
      <c r="A85" s="6856"/>
      <c r="B85" s="437"/>
      <c r="D85" s="586" t="s">
        <v>950</v>
      </c>
      <c r="E85" s="642" t="s">
        <v>951</v>
      </c>
      <c r="F85" s="581" t="s">
        <v>890</v>
      </c>
      <c r="G85" s="643"/>
      <c r="H85" s="930"/>
      <c r="I85" s="643"/>
      <c r="J85" s="930"/>
      <c r="K85" s="208"/>
    </row>
    <row r="86" spans="1:11" s="1820" customFormat="1" ht="11.25" hidden="1" customHeight="1">
      <c r="A86" s="6856"/>
      <c r="B86" s="437"/>
      <c r="D86" s="586" t="s">
        <v>952</v>
      </c>
      <c r="E86" s="642" t="s">
        <v>953</v>
      </c>
      <c r="F86" s="581" t="s">
        <v>890</v>
      </c>
      <c r="G86" s="643"/>
      <c r="H86" s="930"/>
      <c r="I86" s="643"/>
      <c r="J86" s="930"/>
      <c r="K86" s="208"/>
    </row>
    <row r="87" spans="1:11" s="1820" customFormat="1" ht="45" hidden="1" customHeight="1">
      <c r="A87" s="6856"/>
      <c r="B87" s="437"/>
      <c r="D87" s="586" t="s">
        <v>90</v>
      </c>
      <c r="E87" s="587" t="s">
        <v>954</v>
      </c>
      <c r="F87" s="581" t="s">
        <v>890</v>
      </c>
      <c r="G87" s="643"/>
      <c r="H87" s="930"/>
      <c r="I87" s="643"/>
      <c r="J87" s="930"/>
      <c r="K87" s="208" t="s">
        <v>955</v>
      </c>
    </row>
    <row r="88" spans="1:11" s="1820" customFormat="1" ht="11.25" hidden="1" customHeight="1">
      <c r="A88" s="6856"/>
      <c r="B88" s="437"/>
      <c r="D88" s="586" t="s">
        <v>784</v>
      </c>
      <c r="E88" s="642" t="s">
        <v>944</v>
      </c>
      <c r="F88" s="581" t="s">
        <v>890</v>
      </c>
      <c r="G88" s="643"/>
      <c r="H88" s="930"/>
      <c r="I88" s="643"/>
      <c r="J88" s="930"/>
      <c r="K88" s="208"/>
    </row>
    <row r="89" spans="1:11" s="1820" customFormat="1" ht="11.25" hidden="1" customHeight="1">
      <c r="A89" s="6856"/>
      <c r="B89" s="437"/>
      <c r="D89" s="586" t="s">
        <v>827</v>
      </c>
      <c r="E89" s="642" t="s">
        <v>945</v>
      </c>
      <c r="F89" s="581" t="s">
        <v>890</v>
      </c>
      <c r="G89" s="643"/>
      <c r="H89" s="930"/>
      <c r="I89" s="643"/>
      <c r="J89" s="930"/>
      <c r="K89" s="208"/>
    </row>
    <row r="90" spans="1:11" s="1820" customFormat="1" ht="11.25" hidden="1" customHeight="1">
      <c r="A90" s="6856"/>
      <c r="B90" s="437"/>
      <c r="D90" s="586" t="s">
        <v>830</v>
      </c>
      <c r="E90" s="642" t="s">
        <v>946</v>
      </c>
      <c r="F90" s="581" t="s">
        <v>890</v>
      </c>
      <c r="G90" s="643"/>
      <c r="H90" s="930"/>
      <c r="I90" s="643"/>
      <c r="J90" s="930"/>
      <c r="K90" s="208"/>
    </row>
    <row r="91" spans="1:11" s="1820" customFormat="1" ht="11.25" hidden="1" customHeight="1">
      <c r="A91" s="6856"/>
      <c r="B91" s="437"/>
      <c r="D91" s="586" t="s">
        <v>908</v>
      </c>
      <c r="E91" s="642" t="s">
        <v>947</v>
      </c>
      <c r="F91" s="581" t="s">
        <v>890</v>
      </c>
      <c r="G91" s="643"/>
      <c r="H91" s="930"/>
      <c r="I91" s="643"/>
      <c r="J91" s="930"/>
      <c r="K91" s="208"/>
    </row>
    <row r="92" spans="1:11" s="1820" customFormat="1" ht="11.25" hidden="1" customHeight="1">
      <c r="A92" s="6856"/>
      <c r="B92" s="437"/>
      <c r="D92" s="586" t="s">
        <v>910</v>
      </c>
      <c r="E92" s="642" t="s">
        <v>949</v>
      </c>
      <c r="F92" s="581" t="s">
        <v>890</v>
      </c>
      <c r="G92" s="643"/>
      <c r="H92" s="930"/>
      <c r="I92" s="643"/>
      <c r="J92" s="930"/>
      <c r="K92" s="208"/>
    </row>
    <row r="93" spans="1:11" s="1820" customFormat="1" ht="11.25" hidden="1" customHeight="1">
      <c r="A93" s="6856"/>
      <c r="B93" s="437"/>
      <c r="D93" s="586" t="s">
        <v>956</v>
      </c>
      <c r="E93" s="642" t="s">
        <v>951</v>
      </c>
      <c r="F93" s="581" t="s">
        <v>890</v>
      </c>
      <c r="G93" s="643"/>
      <c r="H93" s="930"/>
      <c r="I93" s="643"/>
      <c r="J93" s="930"/>
      <c r="K93" s="208"/>
    </row>
    <row r="94" spans="1:11" s="1820" customFormat="1" ht="11.25" hidden="1" customHeight="1">
      <c r="A94" s="6856"/>
      <c r="B94" s="437"/>
      <c r="D94" s="586" t="s">
        <v>957</v>
      </c>
      <c r="E94" s="642" t="s">
        <v>953</v>
      </c>
      <c r="F94" s="581" t="s">
        <v>890</v>
      </c>
      <c r="G94" s="643"/>
      <c r="H94" s="930"/>
      <c r="I94" s="643"/>
      <c r="J94" s="930"/>
      <c r="K94" s="208"/>
    </row>
    <row r="95" spans="1:11" s="1820" customFormat="1" ht="24.75" hidden="1" customHeight="1">
      <c r="A95" s="6856"/>
      <c r="B95" s="437"/>
      <c r="D95" s="586" t="s">
        <v>115</v>
      </c>
      <c r="E95" s="587" t="s">
        <v>958</v>
      </c>
      <c r="F95" s="644" t="s">
        <v>675</v>
      </c>
      <c r="G95" s="646"/>
      <c r="H95" s="930"/>
      <c r="I95" s="646"/>
      <c r="J95" s="930"/>
      <c r="K95" s="208" t="s">
        <v>959</v>
      </c>
    </row>
    <row r="96" spans="1:11" s="1820" customFormat="1" ht="33.75" hidden="1" customHeight="1">
      <c r="A96" s="6856"/>
      <c r="B96" s="437"/>
      <c r="D96" s="586" t="s">
        <v>91</v>
      </c>
      <c r="E96" s="587" t="s">
        <v>960</v>
      </c>
      <c r="F96" s="645" t="s">
        <v>851</v>
      </c>
      <c r="G96" s="647"/>
      <c r="H96" s="930"/>
      <c r="I96" s="647"/>
      <c r="J96" s="930"/>
      <c r="K96" s="208"/>
    </row>
    <row r="97" spans="1:11" s="1820" customFormat="1" ht="22.5" hidden="1" customHeight="1">
      <c r="A97" s="6856"/>
      <c r="B97" s="437" t="s">
        <v>705</v>
      </c>
      <c r="D97" s="586" t="s">
        <v>92</v>
      </c>
      <c r="E97" s="587" t="s">
        <v>961</v>
      </c>
      <c r="F97" s="645" t="s">
        <v>424</v>
      </c>
      <c r="G97" s="319"/>
      <c r="H97" s="930"/>
      <c r="I97" s="319"/>
      <c r="J97" s="930"/>
      <c r="K97" s="208" t="s">
        <v>920</v>
      </c>
    </row>
    <row r="98" spans="1:11" s="1820" customFormat="1" ht="45" hidden="1" customHeight="1">
      <c r="A98" s="6856"/>
      <c r="B98" s="437" t="s">
        <v>705</v>
      </c>
      <c r="D98" s="586" t="s">
        <v>962</v>
      </c>
      <c r="E98" s="588" t="s">
        <v>963</v>
      </c>
      <c r="F98" s="640" t="s">
        <v>424</v>
      </c>
      <c r="G98" s="319"/>
      <c r="H98" s="930"/>
      <c r="I98" s="319"/>
      <c r="J98" s="930"/>
      <c r="K98" s="208" t="s">
        <v>920</v>
      </c>
    </row>
    <row r="99" spans="1:11" s="1820" customFormat="1" ht="95.25" hidden="1" customHeight="1">
      <c r="A99" s="6856"/>
      <c r="B99" s="437" t="s">
        <v>705</v>
      </c>
      <c r="D99" s="586" t="s">
        <v>128</v>
      </c>
      <c r="E99" s="587" t="s">
        <v>964</v>
      </c>
      <c r="F99" s="640" t="s">
        <v>424</v>
      </c>
      <c r="G99" s="319"/>
      <c r="H99" s="930"/>
      <c r="I99" s="319"/>
      <c r="J99" s="930"/>
      <c r="K99" s="208" t="s">
        <v>920</v>
      </c>
    </row>
    <row r="100" spans="1:11" s="1820" customFormat="1" ht="22.5" hidden="1" customHeight="1">
      <c r="A100" s="6856"/>
      <c r="B100" s="437" t="s">
        <v>705</v>
      </c>
      <c r="D100" s="586" t="s">
        <v>133</v>
      </c>
      <c r="E100" s="587" t="s">
        <v>965</v>
      </c>
      <c r="F100" s="640" t="s">
        <v>424</v>
      </c>
      <c r="G100" s="319"/>
      <c r="H100" s="930"/>
      <c r="I100" s="319"/>
      <c r="J100" s="930"/>
      <c r="K100" s="208" t="s">
        <v>920</v>
      </c>
    </row>
    <row r="101" spans="1:11" s="1822"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057" hidden="1" customWidth="1"/>
    <col min="2" max="2" width="9.140625" style="2059" hidden="1" customWidth="1"/>
    <col min="3" max="3" width="4.7109375" style="6514" customWidth="1"/>
    <col min="4" max="4" width="6.28515625" style="2059" customWidth="1"/>
    <col min="5" max="5" width="36.7109375" style="2059" customWidth="1"/>
    <col min="6" max="6" width="9.5703125" style="2059" customWidth="1"/>
    <col min="7" max="7" width="25.7109375" style="1820" hidden="1" customWidth="1"/>
    <col min="8" max="8" width="33.7109375" style="1820" hidden="1" customWidth="1"/>
    <col min="9" max="9" width="25.7109375" style="2059" customWidth="1"/>
    <col min="10" max="10" width="33.7109375" style="2059" customWidth="1"/>
    <col min="11" max="11" width="93.42578125" style="1821" customWidth="1"/>
    <col min="12" max="20" width="10.5703125" style="2059"/>
    <col min="21" max="21" width="10.5703125" style="6513"/>
  </cols>
  <sheetData>
    <row r="1" spans="1:21" s="1821" customFormat="1" ht="15" hidden="1" customHeight="1">
      <c r="C1" s="593"/>
      <c r="G1" s="351">
        <v>4</v>
      </c>
      <c r="I1" s="351">
        <v>4</v>
      </c>
      <c r="U1" s="353"/>
    </row>
    <row r="2" spans="1:21" s="1821" customFormat="1" ht="15" hidden="1" customHeight="1">
      <c r="C2" s="593"/>
      <c r="U2" s="353"/>
    </row>
    <row r="3" spans="1:21" ht="22.5" hidden="1" customHeight="1">
      <c r="A3" s="431"/>
      <c r="B3" s="6861"/>
      <c r="C3" s="6862"/>
      <c r="D3" s="609" t="str">
        <f>B3&amp;".1"</f>
        <v>.1</v>
      </c>
      <c r="E3" s="610" t="s">
        <v>966</v>
      </c>
      <c r="F3" s="611" t="s">
        <v>424</v>
      </c>
      <c r="G3" s="606"/>
      <c r="H3" s="335"/>
      <c r="I3" s="606"/>
      <c r="J3" s="335"/>
      <c r="K3" s="208" t="s">
        <v>967</v>
      </c>
    </row>
    <row r="4" spans="1:21" ht="15" hidden="1" customHeight="1">
      <c r="A4" s="431"/>
      <c r="B4" s="6861"/>
      <c r="C4" s="6862"/>
      <c r="D4" s="609" t="str">
        <f>B3&amp;".2"</f>
        <v>.2</v>
      </c>
      <c r="E4" s="610" t="s">
        <v>968</v>
      </c>
      <c r="F4" s="611" t="s">
        <v>424</v>
      </c>
      <c r="G4" s="1646" t="s">
        <v>24</v>
      </c>
      <c r="H4" s="335"/>
      <c r="I4" s="1646" t="s">
        <v>24</v>
      </c>
      <c r="J4" s="335"/>
      <c r="K4" s="208" t="s">
        <v>969</v>
      </c>
    </row>
    <row r="5" spans="1:21" s="1821" customFormat="1" ht="15" hidden="1" customHeight="1">
      <c r="C5" s="593"/>
      <c r="U5" s="353"/>
    </row>
    <row r="6" spans="1:21" ht="22.5" hidden="1" customHeight="1">
      <c r="A6" s="431"/>
      <c r="B6" s="6861"/>
      <c r="C6" s="6862"/>
      <c r="D6" s="609" t="str">
        <f>B6&amp;".1"</f>
        <v>.1</v>
      </c>
      <c r="E6" s="610" t="s">
        <v>970</v>
      </c>
      <c r="F6" s="611" t="s">
        <v>424</v>
      </c>
      <c r="G6" s="606"/>
      <c r="H6" s="335"/>
      <c r="I6" s="606"/>
      <c r="J6" s="335"/>
      <c r="K6" s="208" t="s">
        <v>971</v>
      </c>
    </row>
    <row r="7" spans="1:21" ht="15" hidden="1" customHeight="1">
      <c r="A7" s="431"/>
      <c r="B7" s="6861"/>
      <c r="C7" s="6862"/>
      <c r="D7" s="609" t="str">
        <f>B6&amp;".2"</f>
        <v>.2</v>
      </c>
      <c r="E7" s="610" t="s">
        <v>968</v>
      </c>
      <c r="F7" s="611" t="s">
        <v>424</v>
      </c>
      <c r="G7" s="1646" t="s">
        <v>24</v>
      </c>
      <c r="H7" s="335"/>
      <c r="I7" s="1646" t="s">
        <v>24</v>
      </c>
      <c r="J7" s="335"/>
      <c r="K7" s="208" t="s">
        <v>969</v>
      </c>
    </row>
    <row r="8" spans="1:21" s="1821" customFormat="1" ht="15" hidden="1" customHeight="1">
      <c r="C8" s="593"/>
      <c r="U8" s="353"/>
    </row>
    <row r="9" spans="1:21" ht="22.5" hidden="1" customHeight="1">
      <c r="A9" s="431"/>
      <c r="B9" s="6861"/>
      <c r="C9" s="6862"/>
      <c r="D9" s="609" t="str">
        <f>B9&amp;".1"</f>
        <v>.1</v>
      </c>
      <c r="E9" s="610" t="s">
        <v>972</v>
      </c>
      <c r="F9" s="611" t="s">
        <v>424</v>
      </c>
      <c r="G9" s="617" t="s">
        <v>24</v>
      </c>
      <c r="H9" s="335" t="s">
        <v>24</v>
      </c>
      <c r="I9" s="617" t="s">
        <v>24</v>
      </c>
      <c r="J9" s="335" t="s">
        <v>24</v>
      </c>
      <c r="K9" s="208"/>
    </row>
    <row r="10" spans="1:21" ht="15" hidden="1" customHeight="1">
      <c r="A10" s="431"/>
      <c r="B10" s="6861"/>
      <c r="C10" s="6862"/>
      <c r="D10" s="609" t="str">
        <f>B9&amp;".2"</f>
        <v>.2</v>
      </c>
      <c r="E10" s="610" t="s">
        <v>973</v>
      </c>
      <c r="F10" s="611" t="s">
        <v>424</v>
      </c>
      <c r="G10" s="1641" t="s">
        <v>24</v>
      </c>
      <c r="H10" s="335" t="s">
        <v>24</v>
      </c>
      <c r="I10" s="1641" t="s">
        <v>24</v>
      </c>
      <c r="J10" s="335" t="s">
        <v>24</v>
      </c>
      <c r="K10" s="208" t="s">
        <v>974</v>
      </c>
    </row>
    <row r="11" spans="1:21" ht="15" hidden="1" customHeight="1">
      <c r="A11" s="431"/>
      <c r="B11" s="6861"/>
      <c r="C11" s="6862"/>
      <c r="D11" s="609" t="str">
        <f>B9&amp;".3"</f>
        <v>.3</v>
      </c>
      <c r="E11" s="610" t="s">
        <v>975</v>
      </c>
      <c r="F11" s="611" t="s">
        <v>424</v>
      </c>
      <c r="G11" s="1641" t="s">
        <v>24</v>
      </c>
      <c r="H11" s="335" t="s">
        <v>24</v>
      </c>
      <c r="I11" s="1641" t="s">
        <v>24</v>
      </c>
      <c r="J11" s="335" t="s">
        <v>24</v>
      </c>
      <c r="K11" s="208" t="s">
        <v>976</v>
      </c>
    </row>
    <row r="12" spans="1:21" s="1821" customFormat="1" ht="15" hidden="1" customHeight="1">
      <c r="C12" s="593"/>
      <c r="U12" s="353"/>
    </row>
    <row r="13" spans="1:21" ht="33.75" hidden="1" customHeight="1">
      <c r="A13" s="431"/>
      <c r="B13" s="6861"/>
      <c r="C13" s="6862"/>
      <c r="D13" s="609" t="str">
        <f>B13&amp;".1"</f>
        <v>.1</v>
      </c>
      <c r="E13" s="610" t="s">
        <v>977</v>
      </c>
      <c r="F13" s="611" t="s">
        <v>424</v>
      </c>
      <c r="G13" s="617" t="s">
        <v>24</v>
      </c>
      <c r="H13" s="335" t="s">
        <v>24</v>
      </c>
      <c r="I13" s="617" t="s">
        <v>24</v>
      </c>
      <c r="J13" s="335" t="s">
        <v>24</v>
      </c>
      <c r="K13" s="208" t="s">
        <v>978</v>
      </c>
    </row>
    <row r="14" spans="1:21" ht="15" hidden="1" customHeight="1">
      <c r="B14" s="6861"/>
      <c r="C14" s="6862"/>
      <c r="D14" s="609" t="str">
        <f>B13&amp;".2"</f>
        <v>.2</v>
      </c>
      <c r="E14" s="610" t="s">
        <v>979</v>
      </c>
      <c r="F14" s="611" t="s">
        <v>424</v>
      </c>
      <c r="G14" s="1641" t="s">
        <v>24</v>
      </c>
      <c r="H14" s="335" t="s">
        <v>24</v>
      </c>
      <c r="I14" s="1641" t="s">
        <v>24</v>
      </c>
      <c r="J14" s="335" t="s">
        <v>24</v>
      </c>
      <c r="K14" s="208" t="s">
        <v>980</v>
      </c>
    </row>
    <row r="15" spans="1:21" s="1821" customFormat="1" ht="15" hidden="1" customHeight="1">
      <c r="C15" s="593"/>
      <c r="U15" s="353"/>
    </row>
    <row r="16" spans="1:21" s="1821" customFormat="1" ht="15" hidden="1" customHeight="1">
      <c r="C16" s="593"/>
      <c r="U16" s="353"/>
    </row>
    <row r="17" spans="1:21" s="1821" customFormat="1" ht="15" hidden="1" customHeight="1">
      <c r="C17" s="593"/>
      <c r="U17" s="353"/>
    </row>
    <row r="18" spans="1:21" s="1821" customFormat="1" ht="15" hidden="1" customHeight="1">
      <c r="C18" s="593"/>
      <c r="U18" s="353"/>
    </row>
    <row r="19" spans="1:21" s="1821" customFormat="1" ht="15" hidden="1" customHeight="1">
      <c r="C19" s="593"/>
      <c r="U19" s="353"/>
    </row>
    <row r="20" spans="1:21" s="1821" customFormat="1" ht="15" hidden="1" customHeight="1">
      <c r="C20" s="593"/>
      <c r="U20" s="353"/>
    </row>
    <row r="21" spans="1:21" ht="15" customHeight="1">
      <c r="C21" s="97"/>
      <c r="D21" s="435"/>
      <c r="E21" s="435"/>
      <c r="F21" s="435"/>
      <c r="G21" s="435"/>
      <c r="H21" s="435"/>
      <c r="I21" s="435"/>
      <c r="J21" s="435"/>
    </row>
    <row r="22" spans="1:21" ht="22.5" customHeight="1">
      <c r="C22" s="97"/>
      <c r="D22" s="674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6747"/>
      <c r="F22" s="6747"/>
      <c r="G22" s="6747"/>
      <c r="H22" s="6747"/>
      <c r="I22" s="6747"/>
      <c r="J22" s="597"/>
      <c r="K22" s="462"/>
    </row>
    <row r="23" spans="1:21" ht="15" customHeight="1">
      <c r="C23" s="97"/>
      <c r="D23" s="6694" t="str">
        <f>IF(org=0,"Не определено",org)</f>
        <v>ООО "Марикоммунэнерго"</v>
      </c>
      <c r="E23" s="6694"/>
      <c r="F23" s="6694"/>
      <c r="G23" s="6694"/>
      <c r="H23" s="6694"/>
      <c r="I23" s="6694"/>
      <c r="J23" s="597"/>
      <c r="K23" s="462"/>
    </row>
    <row r="24" spans="1:21" ht="15" customHeight="1">
      <c r="C24" s="97"/>
      <c r="D24" s="435"/>
      <c r="E24" s="435"/>
      <c r="F24" s="435"/>
      <c r="G24" s="462">
        <v>22</v>
      </c>
      <c r="H24" s="669"/>
      <c r="I24" s="462">
        <v>22</v>
      </c>
      <c r="J24" s="669"/>
    </row>
    <row r="25" spans="1:21" s="1820" customFormat="1" ht="0.75" customHeight="1">
      <c r="A25" s="676"/>
      <c r="C25" s="97"/>
      <c r="D25" s="435"/>
      <c r="E25" s="435"/>
      <c r="F25" s="435"/>
      <c r="G25" s="462"/>
      <c r="H25" s="669"/>
      <c r="I25" s="462" t="s">
        <v>183</v>
      </c>
      <c r="J25" s="669"/>
      <c r="K25" s="351"/>
      <c r="U25" s="596"/>
    </row>
    <row r="26" spans="1:21" ht="15" customHeight="1">
      <c r="C26" s="97"/>
      <c r="D26" s="630"/>
      <c r="E26" s="6838" t="s">
        <v>174</v>
      </c>
      <c r="F26" s="6839"/>
      <c r="G26" s="6859" t="str">
        <f>IF(G25="","",INDEX(DIFFERENTIATION_UNMERGE_VD,MATCH(G25,DIFFERENTIATION_ID_DIFF,0)))</f>
        <v/>
      </c>
      <c r="H26" s="6860"/>
      <c r="I26" s="6859">
        <f>IF(I25="","",INDEX(DIFFERENTIATION_UNMERGE_VD,MATCH(I25,DIFFERENTIATION_ID_DIFF,0)))</f>
        <v>0</v>
      </c>
      <c r="J26" s="6860"/>
      <c r="K26" s="6693" t="s">
        <v>419</v>
      </c>
    </row>
    <row r="27" spans="1:21" s="1820" customFormat="1" ht="15" customHeight="1">
      <c r="A27" s="676"/>
      <c r="C27" s="97"/>
      <c r="D27" s="630"/>
      <c r="E27" s="6838" t="s">
        <v>681</v>
      </c>
      <c r="F27" s="6839"/>
      <c r="G27" s="6859" t="str">
        <f>IF(G25="","",INDEX(DIFFERENTIATION_UNMERGE_AREA,MATCH(G25,DIFFERENTIATION_ID_DIFF,0)))</f>
        <v/>
      </c>
      <c r="H27" s="6860"/>
      <c r="I27" s="6859" t="str">
        <f>IF(I25="","",INDEX(DIFFERENTIATION_UNMERGE_AREA,MATCH(I25,DIFFERENTIATION_ID_DIFF,0)))</f>
        <v/>
      </c>
      <c r="J27" s="6860"/>
      <c r="K27" s="6711"/>
      <c r="U27" s="596"/>
    </row>
    <row r="28" spans="1:21" s="1820" customFormat="1" ht="15" customHeight="1">
      <c r="A28" s="676"/>
      <c r="C28" s="97"/>
      <c r="D28" s="630"/>
      <c r="E28" s="6838" t="s">
        <v>682</v>
      </c>
      <c r="F28" s="6839"/>
      <c r="G28" s="6859" t="str">
        <f>IF(G25="","",INDEX(DIFFERENTIATION_UNMERGE_SYSTEM,MATCH(G25,DIFFERENTIATION_ID_DIFF,0)))</f>
        <v/>
      </c>
      <c r="H28" s="6860"/>
      <c r="I28" s="6859" t="str">
        <f>IF(I25="","",INDEX(DIFFERENTIATION_UNMERGE_SYSTEM,MATCH(I25,DIFFERENTIATION_ID_DIFF,0)))</f>
        <v>без дифференциации</v>
      </c>
      <c r="J28" s="6860"/>
      <c r="K28" s="6711"/>
      <c r="U28" s="596"/>
    </row>
    <row r="29" spans="1:21" s="1820" customFormat="1" ht="15" customHeight="1">
      <c r="A29" s="676"/>
      <c r="C29" s="97"/>
      <c r="D29" s="6840" t="s">
        <v>418</v>
      </c>
      <c r="E29" s="6841"/>
      <c r="F29" s="6841"/>
      <c r="G29" s="800"/>
      <c r="H29" s="800"/>
      <c r="I29" s="800"/>
      <c r="J29" s="801"/>
      <c r="K29" s="6711"/>
      <c r="U29" s="596"/>
    </row>
    <row r="30" spans="1:21" ht="33.75" customHeight="1">
      <c r="C30" s="97"/>
      <c r="D30" s="678" t="s">
        <v>87</v>
      </c>
      <c r="E30" s="677" t="s">
        <v>420</v>
      </c>
      <c r="F30" s="677" t="s">
        <v>683</v>
      </c>
      <c r="G30" s="725" t="s">
        <v>421</v>
      </c>
      <c r="H30" s="724" t="s">
        <v>510</v>
      </c>
      <c r="I30" s="604" t="s">
        <v>421</v>
      </c>
      <c r="J30" s="392" t="s">
        <v>510</v>
      </c>
      <c r="K30" s="6714"/>
    </row>
    <row r="31" spans="1:21" ht="15" hidden="1" customHeight="1">
      <c r="C31" s="97"/>
      <c r="D31" s="516"/>
      <c r="E31" s="516"/>
      <c r="F31" s="516"/>
      <c r="G31" s="580"/>
      <c r="H31" s="580"/>
      <c r="I31" s="580"/>
      <c r="J31" s="580"/>
      <c r="K31" s="208"/>
    </row>
    <row r="32" spans="1:21" ht="22.5" customHeight="1">
      <c r="A32" s="431"/>
      <c r="B32" s="431" t="s">
        <v>981</v>
      </c>
      <c r="C32" s="452"/>
      <c r="D32" s="612">
        <v>1</v>
      </c>
      <c r="E32" s="613" t="s">
        <v>982</v>
      </c>
      <c r="F32" s="611" t="s">
        <v>424</v>
      </c>
      <c r="G32" s="730" t="s">
        <v>424</v>
      </c>
      <c r="H32" s="730" t="s">
        <v>424</v>
      </c>
      <c r="I32" s="611" t="s">
        <v>424</v>
      </c>
      <c r="J32" s="611" t="s">
        <v>424</v>
      </c>
      <c r="K32" s="208"/>
    </row>
    <row r="33" spans="1:21" ht="11.25" customHeight="1">
      <c r="A33" s="431"/>
      <c r="C33" s="431"/>
      <c r="D33" s="273"/>
      <c r="E33" s="505" t="s">
        <v>703</v>
      </c>
      <c r="F33" s="497"/>
      <c r="G33" s="497"/>
      <c r="H33" s="497"/>
      <c r="I33" s="497"/>
      <c r="J33" s="497"/>
      <c r="K33" s="498"/>
      <c r="U33" s="431"/>
    </row>
    <row r="34" spans="1:21" ht="22.5" customHeight="1">
      <c r="A34" s="431"/>
      <c r="B34" s="506" t="s">
        <v>983</v>
      </c>
      <c r="C34" s="452"/>
      <c r="D34" s="612">
        <v>2</v>
      </c>
      <c r="E34" s="613" t="s">
        <v>984</v>
      </c>
      <c r="F34" s="737" t="s">
        <v>424</v>
      </c>
      <c r="G34" s="737" t="s">
        <v>424</v>
      </c>
      <c r="H34" s="737" t="s">
        <v>424</v>
      </c>
      <c r="I34" s="611"/>
      <c r="J34" s="611"/>
      <c r="K34" s="208"/>
    </row>
    <row r="35" spans="1:21" ht="11.25" customHeight="1">
      <c r="A35" s="431"/>
      <c r="C35" s="431"/>
      <c r="D35" s="273"/>
      <c r="E35" s="505" t="s">
        <v>985</v>
      </c>
      <c r="F35" s="497"/>
      <c r="G35" s="614"/>
      <c r="H35" s="497"/>
      <c r="I35" s="614"/>
      <c r="J35" s="497"/>
      <c r="K35" s="498"/>
      <c r="U35" s="431"/>
    </row>
    <row r="36" spans="1:21" ht="67.5" customHeight="1">
      <c r="A36" s="431"/>
      <c r="B36" s="431" t="s">
        <v>986</v>
      </c>
      <c r="C36" s="452"/>
      <c r="D36" s="612">
        <v>3</v>
      </c>
      <c r="E36" s="613" t="s">
        <v>987</v>
      </c>
      <c r="F36" s="615" t="s">
        <v>424</v>
      </c>
      <c r="G36" s="731" t="s">
        <v>988</v>
      </c>
      <c r="H36" s="730" t="s">
        <v>424</v>
      </c>
      <c r="I36" s="450" t="s">
        <v>988</v>
      </c>
      <c r="J36" s="611" t="s">
        <v>424</v>
      </c>
      <c r="K36" s="208" t="s">
        <v>989</v>
      </c>
    </row>
    <row r="37" spans="1:21" ht="11.25" customHeight="1">
      <c r="A37" s="431"/>
      <c r="C37" s="431"/>
      <c r="D37" s="273"/>
      <c r="E37" s="505" t="s">
        <v>990</v>
      </c>
      <c r="F37" s="497"/>
      <c r="G37" s="614"/>
      <c r="H37" s="614"/>
      <c r="I37" s="614"/>
      <c r="J37" s="614"/>
      <c r="K37" s="498"/>
      <c r="U37" s="431"/>
    </row>
    <row r="38" spans="1:21" ht="67.5" customHeight="1">
      <c r="A38" s="431"/>
      <c r="B38" s="431" t="s">
        <v>991</v>
      </c>
      <c r="C38" s="452"/>
      <c r="D38" s="612">
        <v>4</v>
      </c>
      <c r="E38" s="613" t="s">
        <v>992</v>
      </c>
      <c r="F38" s="615" t="s">
        <v>424</v>
      </c>
      <c r="G38" s="731" t="s">
        <v>988</v>
      </c>
      <c r="H38" s="732" t="s">
        <v>424</v>
      </c>
      <c r="I38" s="450" t="s">
        <v>988</v>
      </c>
      <c r="J38" s="447" t="s">
        <v>424</v>
      </c>
      <c r="K38" s="600" t="s">
        <v>993</v>
      </c>
    </row>
    <row r="39" spans="1:21" ht="11.25" customHeight="1">
      <c r="A39" s="431"/>
      <c r="C39" s="431"/>
      <c r="D39" s="273"/>
      <c r="E39" s="505" t="s">
        <v>994</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6515" hidden="1" customWidth="1"/>
    <col min="4" max="4" width="6.7109375" style="1821" hidden="1" customWidth="1"/>
    <col min="5" max="5" width="3.7109375" style="1822" customWidth="1"/>
    <col min="6" max="6" width="6.28515625" style="1820" customWidth="1"/>
    <col min="7" max="7" width="37.7109375" style="1820" customWidth="1"/>
    <col min="8" max="8" width="16.5703125" style="2042" customWidth="1"/>
    <col min="9" max="10" width="19.7109375" style="1820" customWidth="1"/>
    <col min="11" max="11" width="25" style="1820" customWidth="1"/>
    <col min="12" max="13" width="25.7109375" style="1820" customWidth="1"/>
    <col min="14" max="16" width="17.7109375" style="1820" customWidth="1"/>
    <col min="17" max="24" width="19.7109375" style="1820" customWidth="1"/>
    <col min="25" max="25" width="8" style="1820" customWidth="1"/>
    <col min="26" max="26" width="3.28515625" style="1820" customWidth="1"/>
    <col min="27" max="27" width="6.28515625" style="1820" customWidth="1"/>
    <col min="28" max="28" width="34.140625" style="1820" customWidth="1"/>
    <col min="29" max="30" width="9.140625" style="1820"/>
  </cols>
  <sheetData>
    <row r="1" spans="1:30" s="1821" customFormat="1" ht="10.5" hidden="1" customHeight="1">
      <c r="A1" s="808"/>
      <c r="B1" s="808"/>
      <c r="C1" s="808"/>
      <c r="E1" s="462"/>
      <c r="H1" s="1060"/>
    </row>
    <row r="2" spans="1:30" ht="10.5" hidden="1" customHeight="1"/>
    <row r="3" spans="1:30" s="2053" customFormat="1" ht="10.5" hidden="1" customHeight="1">
      <c r="A3" s="808"/>
      <c r="B3" s="808"/>
      <c r="C3" s="808"/>
      <c r="D3" s="351"/>
      <c r="E3" s="289"/>
      <c r="H3" s="1056"/>
    </row>
    <row r="4" spans="1:30" ht="3" customHeight="1"/>
    <row r="5" spans="1:30" ht="25.5" customHeight="1">
      <c r="F5" s="67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6747"/>
      <c r="H5" s="6747"/>
      <c r="I5" s="6747"/>
      <c r="J5" s="6747"/>
      <c r="K5" s="6747"/>
      <c r="M5" s="507"/>
      <c r="AB5" s="819"/>
    </row>
    <row r="6" spans="1:30" s="2045" customFormat="1" ht="15.75" customHeight="1">
      <c r="A6" s="1066"/>
      <c r="B6" s="1066"/>
      <c r="C6" s="1066"/>
      <c r="D6" s="1060"/>
      <c r="E6" s="1546"/>
      <c r="F6" s="6694" t="str">
        <f>IF(org=0,"Не определено",org)</f>
        <v>ООО "Марикоммунэнерго"</v>
      </c>
      <c r="G6" s="6694"/>
      <c r="H6" s="6694"/>
      <c r="I6" s="6694"/>
      <c r="J6" s="6694"/>
      <c r="K6" s="6694"/>
      <c r="M6" s="507"/>
      <c r="AB6" s="1048"/>
    </row>
    <row r="8" spans="1:30" ht="10.5" customHeight="1">
      <c r="A8" s="958"/>
      <c r="B8" s="958"/>
      <c r="C8" s="958"/>
      <c r="F8" s="6600" t="s">
        <v>418</v>
      </c>
      <c r="G8" s="6605"/>
      <c r="H8" s="6605"/>
      <c r="I8" s="6605"/>
      <c r="J8" s="6605"/>
      <c r="K8" s="6605"/>
      <c r="L8" s="6605"/>
      <c r="M8" s="6605"/>
      <c r="N8" s="6605"/>
      <c r="O8" s="6605"/>
      <c r="P8" s="6605"/>
      <c r="Q8" s="6605"/>
      <c r="R8" s="6605"/>
      <c r="S8" s="6605"/>
      <c r="T8" s="6605"/>
      <c r="U8" s="6605"/>
      <c r="V8" s="6605"/>
      <c r="W8" s="6605"/>
      <c r="X8" s="6605"/>
      <c r="Y8" s="6605"/>
      <c r="Z8" s="6605"/>
      <c r="AA8" s="6605"/>
      <c r="AB8" s="6599"/>
    </row>
    <row r="9" spans="1:30" ht="41.25" customHeight="1">
      <c r="A9" s="818"/>
      <c r="B9" s="818"/>
      <c r="C9" s="818"/>
      <c r="F9" s="6629" t="s">
        <v>87</v>
      </c>
      <c r="G9" s="6629" t="s">
        <v>995</v>
      </c>
      <c r="H9" s="6693" t="s">
        <v>996</v>
      </c>
      <c r="I9" s="6629" t="s">
        <v>997</v>
      </c>
      <c r="J9" s="6629" t="s">
        <v>998</v>
      </c>
      <c r="K9" s="6629" t="s">
        <v>999</v>
      </c>
      <c r="L9" s="6629" t="s">
        <v>1000</v>
      </c>
      <c r="M9" s="6629" t="s">
        <v>1001</v>
      </c>
      <c r="N9" s="6723" t="s">
        <v>1002</v>
      </c>
      <c r="O9" s="6723"/>
      <c r="P9" s="6723"/>
      <c r="Q9" s="6772" t="s">
        <v>1003</v>
      </c>
      <c r="R9" s="6773"/>
      <c r="S9" s="6773"/>
      <c r="T9" s="6774"/>
      <c r="U9" s="6772" t="s">
        <v>1004</v>
      </c>
      <c r="V9" s="6773"/>
      <c r="W9" s="6773"/>
      <c r="X9" s="6774"/>
      <c r="Y9" s="6600" t="s">
        <v>1005</v>
      </c>
      <c r="Z9" s="6605"/>
      <c r="AA9" s="6605"/>
      <c r="AB9" s="6599"/>
    </row>
    <row r="10" spans="1:30" ht="41.25" customHeight="1">
      <c r="A10" s="818"/>
      <c r="B10" s="818"/>
      <c r="C10" s="818"/>
      <c r="F10" s="6693"/>
      <c r="G10" s="6693"/>
      <c r="H10" s="6742"/>
      <c r="I10" s="6693"/>
      <c r="J10" s="6693"/>
      <c r="K10" s="6693"/>
      <c r="L10" s="6693"/>
      <c r="M10" s="6693"/>
      <c r="N10" s="816" t="s">
        <v>1006</v>
      </c>
      <c r="O10" s="816" t="s">
        <v>1007</v>
      </c>
      <c r="P10" s="817" t="s">
        <v>1008</v>
      </c>
      <c r="Q10" s="828" t="s">
        <v>88</v>
      </c>
      <c r="R10" s="828" t="s">
        <v>1009</v>
      </c>
      <c r="S10" s="828" t="s">
        <v>1010</v>
      </c>
      <c r="T10" s="829" t="s">
        <v>1011</v>
      </c>
      <c r="U10" s="828" t="s">
        <v>88</v>
      </c>
      <c r="V10" s="828" t="s">
        <v>1012</v>
      </c>
      <c r="W10" s="828" t="s">
        <v>1010</v>
      </c>
      <c r="X10" s="829" t="s">
        <v>1011</v>
      </c>
      <c r="Y10" s="220" t="s">
        <v>1013</v>
      </c>
      <c r="Z10" s="6600" t="s">
        <v>87</v>
      </c>
      <c r="AA10" s="6599"/>
      <c r="AB10" s="956" t="s">
        <v>1014</v>
      </c>
    </row>
    <row r="11" spans="1:30" s="1817" customFormat="1" ht="5.25" hidden="1" customHeight="1">
      <c r="A11" s="959"/>
      <c r="B11" s="959"/>
      <c r="C11" s="959"/>
      <c r="E11" s="957"/>
      <c r="F11" s="6867" t="s">
        <v>496</v>
      </c>
      <c r="G11" s="6864"/>
      <c r="H11" s="6863"/>
      <c r="I11" s="6863"/>
      <c r="J11" s="6863"/>
      <c r="K11" s="6865"/>
      <c r="L11" s="6865"/>
      <c r="M11" s="6865"/>
      <c r="N11" s="6863"/>
      <c r="O11" s="6863"/>
      <c r="P11" s="6629"/>
      <c r="Q11" s="6697"/>
      <c r="R11" s="6697"/>
      <c r="S11" s="6697"/>
      <c r="T11" s="6863"/>
      <c r="U11" s="6697"/>
      <c r="V11" s="6697"/>
      <c r="W11" s="6697"/>
      <c r="X11" s="6863"/>
      <c r="Y11" s="6611"/>
      <c r="Z11" s="6611"/>
      <c r="AA11" s="6611"/>
      <c r="AB11" s="6611"/>
      <c r="AD11" s="437" t="s">
        <v>1015</v>
      </c>
    </row>
    <row r="12" spans="1:30" s="1817" customFormat="1" ht="5.25" hidden="1" customHeight="1">
      <c r="A12" s="809"/>
      <c r="B12" s="809"/>
      <c r="C12" s="809"/>
      <c r="E12" s="444"/>
      <c r="F12" s="6867"/>
      <c r="G12" s="6864"/>
      <c r="H12" s="6863"/>
      <c r="I12" s="6863"/>
      <c r="J12" s="6863"/>
      <c r="K12" s="6865"/>
      <c r="L12" s="6865"/>
      <c r="M12" s="6865"/>
      <c r="N12" s="6863"/>
      <c r="O12" s="6863"/>
      <c r="P12" s="6629"/>
      <c r="Q12" s="6697"/>
      <c r="R12" s="6697"/>
      <c r="S12" s="6697"/>
      <c r="T12" s="6863"/>
      <c r="U12" s="6697"/>
      <c r="V12" s="6697"/>
      <c r="W12" s="6697"/>
      <c r="X12" s="6863"/>
      <c r="Y12" s="6866"/>
      <c r="Z12" s="6866"/>
      <c r="AA12" s="6866"/>
      <c r="AB12" s="6866"/>
    </row>
    <row r="13" spans="1:30" ht="10.5" customHeight="1">
      <c r="F13" s="815"/>
      <c r="G13" s="571" t="s">
        <v>1016</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17"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6515" hidden="1" customWidth="1"/>
    <col min="4" max="4" width="4.140625" style="1821" hidden="1" customWidth="1"/>
    <col min="5" max="5" width="3.7109375" style="1822" customWidth="1"/>
    <col min="6" max="6" width="14.42578125" style="1820" customWidth="1"/>
    <col min="7" max="7" width="3.7109375" style="1820" customWidth="1"/>
    <col min="8" max="8" width="7.7109375" style="2042" customWidth="1"/>
    <col min="9" max="10" width="16.7109375" style="1820" customWidth="1"/>
    <col min="11" max="11" width="25.7109375" style="1820" customWidth="1"/>
    <col min="12" max="12" width="8" style="6517" customWidth="1"/>
    <col min="13" max="13" width="15.5703125" style="6517" customWidth="1"/>
    <col min="14" max="14" width="3.28515625" style="1820" customWidth="1"/>
    <col min="15" max="15" width="4.7109375" style="1820" customWidth="1"/>
    <col min="16" max="16" width="9" style="1820" customWidth="1"/>
    <col min="17" max="17" width="21.7109375" style="1820" customWidth="1"/>
    <col min="18" max="18" width="14.7109375" style="1820" customWidth="1"/>
    <col min="19" max="20" width="17.7109375" style="1820" customWidth="1"/>
    <col min="21" max="21" width="9.7109375" style="1820" customWidth="1"/>
    <col min="22" max="22" width="12.7109375" style="1820" customWidth="1"/>
    <col min="23" max="23" width="9.7109375" style="1820" customWidth="1"/>
    <col min="24" max="24" width="21.7109375" style="1820" customWidth="1"/>
    <col min="25" max="25" width="12.7109375" style="1820" customWidth="1"/>
    <col min="26" max="26" width="3.28515625" style="1820" customWidth="1"/>
    <col min="27" max="27" width="7.140625" style="1820" customWidth="1"/>
    <col min="28" max="28" width="38.42578125" style="1820" customWidth="1"/>
    <col min="29" max="29" width="15.7109375" style="1820" customWidth="1"/>
    <col min="30" max="30" width="37.5703125" style="6517" customWidth="1"/>
    <col min="31" max="31" width="15.7109375" style="1820" customWidth="1"/>
    <col min="32" max="33" width="16.7109375" style="1820" customWidth="1"/>
    <col min="34" max="34" width="16.7109375" style="6518" customWidth="1"/>
    <col min="35" max="35" width="16.7109375" style="6519" customWidth="1"/>
    <col min="36" max="37" width="16.7109375" style="1820" customWidth="1"/>
    <col min="38" max="58" width="9.140625" style="1820"/>
  </cols>
  <sheetData>
    <row r="1" spans="1:58" s="1821" customFormat="1" ht="10.5" hidden="1" customHeight="1">
      <c r="A1" s="808"/>
      <c r="B1" s="808"/>
      <c r="C1" s="808"/>
      <c r="E1" s="462"/>
      <c r="H1" s="1060"/>
      <c r="L1" s="1030"/>
      <c r="M1" s="1030"/>
      <c r="AD1" s="1030"/>
      <c r="AH1" s="1047"/>
      <c r="AI1" s="1041"/>
    </row>
    <row r="2" spans="1:58" ht="10.5" hidden="1" customHeight="1"/>
    <row r="3" spans="1:58" s="2053" customFormat="1" ht="10.5" hidden="1" customHeight="1">
      <c r="A3" s="808"/>
      <c r="B3" s="808"/>
      <c r="C3" s="808"/>
      <c r="D3" s="351"/>
      <c r="E3" s="289"/>
      <c r="H3" s="1056"/>
      <c r="L3" s="1028"/>
      <c r="M3" s="1028"/>
      <c r="AD3" s="1028"/>
      <c r="AH3" s="1045"/>
      <c r="AI3" s="1039"/>
    </row>
    <row r="4" spans="1:58" ht="3" customHeight="1"/>
    <row r="5" spans="1:58" ht="25.5" customHeight="1">
      <c r="F5" s="67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6747"/>
      <c r="H5" s="6747"/>
      <c r="I5" s="6747"/>
      <c r="J5" s="6747"/>
      <c r="K5" s="6747"/>
      <c r="L5" s="1037"/>
      <c r="M5" s="1037"/>
      <c r="AG5" s="819"/>
      <c r="AH5" s="1048"/>
    </row>
    <row r="6" spans="1:58" ht="10.5" customHeight="1">
      <c r="F6" s="6694" t="str">
        <f>IF(org=0,"Не определено",org)</f>
        <v>ООО "Марикоммунэнерго"</v>
      </c>
      <c r="G6" s="6694"/>
      <c r="H6" s="6694"/>
      <c r="I6" s="6694"/>
      <c r="J6" s="6694"/>
      <c r="K6" s="6694"/>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6871" t="s">
        <v>418</v>
      </c>
      <c r="G8" s="6872"/>
      <c r="H8" s="6872"/>
      <c r="I8" s="6872"/>
      <c r="J8" s="6872"/>
      <c r="K8" s="6872"/>
      <c r="L8" s="6872"/>
      <c r="M8" s="6872"/>
      <c r="N8" s="6872"/>
      <c r="O8" s="6872"/>
      <c r="P8" s="6872"/>
      <c r="Q8" s="6872"/>
      <c r="R8" s="6872"/>
      <c r="S8" s="6872"/>
      <c r="T8" s="6872"/>
      <c r="U8" s="6872"/>
      <c r="V8" s="6872"/>
      <c r="W8" s="6872"/>
      <c r="X8" s="6872"/>
      <c r="Y8" s="6872"/>
      <c r="Z8" s="6872"/>
      <c r="AA8" s="6872"/>
      <c r="AB8" s="6872"/>
      <c r="AC8" s="6872"/>
      <c r="AD8" s="6872"/>
      <c r="AE8" s="6872"/>
      <c r="AF8" s="6872"/>
      <c r="AG8" s="6872"/>
      <c r="AH8" s="6872"/>
      <c r="AI8" s="6872"/>
      <c r="AJ8" s="6872"/>
      <c r="AK8" s="6873"/>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6723" t="s">
        <v>1017</v>
      </c>
      <c r="G9" s="6809" t="s">
        <v>1018</v>
      </c>
      <c r="H9" s="6869"/>
      <c r="I9" s="6629" t="s">
        <v>1019</v>
      </c>
      <c r="J9" s="6629"/>
      <c r="K9" s="6629" t="s">
        <v>1020</v>
      </c>
      <c r="L9" s="6629"/>
      <c r="M9" s="6629"/>
      <c r="N9" s="6629"/>
      <c r="O9" s="6629"/>
      <c r="P9" s="6629"/>
      <c r="Q9" s="6629"/>
      <c r="R9" s="6629"/>
      <c r="S9" s="6629"/>
      <c r="T9" s="6629"/>
      <c r="U9" s="6629"/>
      <c r="V9" s="6629"/>
      <c r="W9" s="6629"/>
      <c r="X9" s="6629"/>
      <c r="Y9" s="6629"/>
      <c r="Z9" s="6708" t="s">
        <v>1021</v>
      </c>
      <c r="AA9" s="6709"/>
      <c r="AB9" s="6629" t="s">
        <v>1022</v>
      </c>
      <c r="AC9" s="6629"/>
      <c r="AD9" s="6629"/>
      <c r="AE9" s="6629"/>
      <c r="AF9" s="6693" t="s">
        <v>1023</v>
      </c>
      <c r="AG9" s="6629" t="s">
        <v>1024</v>
      </c>
      <c r="AH9" s="6629"/>
      <c r="AI9" s="6693" t="s">
        <v>1025</v>
      </c>
      <c r="AJ9" s="6629" t="s">
        <v>1026</v>
      </c>
      <c r="AK9" s="6629"/>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6723"/>
      <c r="G10" s="6810"/>
      <c r="H10" s="6724"/>
      <c r="I10" s="6629"/>
      <c r="J10" s="6629"/>
      <c r="K10" s="6629" t="s">
        <v>1027</v>
      </c>
      <c r="L10" s="6600" t="s">
        <v>1028</v>
      </c>
      <c r="M10" s="6599"/>
      <c r="N10" s="6629" t="s">
        <v>1029</v>
      </c>
      <c r="O10" s="6629"/>
      <c r="P10" s="6629"/>
      <c r="Q10" s="6629"/>
      <c r="R10" s="6629"/>
      <c r="S10" s="6629"/>
      <c r="T10" s="6629"/>
      <c r="U10" s="6629"/>
      <c r="V10" s="6629"/>
      <c r="W10" s="6629"/>
      <c r="X10" s="6629"/>
      <c r="Y10" s="6629"/>
      <c r="Z10" s="6710"/>
      <c r="AA10" s="6711"/>
      <c r="AB10" s="6629"/>
      <c r="AC10" s="6629"/>
      <c r="AD10" s="6629"/>
      <c r="AE10" s="6629"/>
      <c r="AF10" s="6712"/>
      <c r="AG10" s="6629"/>
      <c r="AH10" s="6629"/>
      <c r="AI10" s="6712"/>
      <c r="AJ10" s="6629"/>
      <c r="AK10" s="6629"/>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6517" customFormat="1" ht="23.25" customHeight="1">
      <c r="A11" s="1031"/>
      <c r="B11" s="1031"/>
      <c r="C11" s="1031"/>
      <c r="D11" s="1030"/>
      <c r="E11" s="1032"/>
      <c r="F11" s="6723"/>
      <c r="G11" s="6810"/>
      <c r="H11" s="6724"/>
      <c r="I11" s="6629"/>
      <c r="J11" s="6629"/>
      <c r="K11" s="6629"/>
      <c r="L11" s="6693" t="s">
        <v>1030</v>
      </c>
      <c r="M11" s="6693" t="s">
        <v>1031</v>
      </c>
      <c r="N11" s="6629" t="s">
        <v>1032</v>
      </c>
      <c r="O11" s="6629"/>
      <c r="P11" s="6657" t="s">
        <v>1013</v>
      </c>
      <c r="Q11" s="6657" t="s">
        <v>1033</v>
      </c>
      <c r="R11" s="6657" t="s">
        <v>1034</v>
      </c>
      <c r="S11" s="6657" t="s">
        <v>1035</v>
      </c>
      <c r="T11" s="6657"/>
      <c r="U11" s="6657"/>
      <c r="V11" s="6657"/>
      <c r="W11" s="6657"/>
      <c r="X11" s="6657"/>
      <c r="Y11" s="6657"/>
      <c r="Z11" s="6710"/>
      <c r="AA11" s="6711"/>
      <c r="AB11" s="6629" t="s">
        <v>1036</v>
      </c>
      <c r="AC11" s="6629"/>
      <c r="AD11" s="6600" t="s">
        <v>1037</v>
      </c>
      <c r="AE11" s="6599"/>
      <c r="AF11" s="6712"/>
      <c r="AG11" s="6629"/>
      <c r="AH11" s="6629"/>
      <c r="AI11" s="6712"/>
      <c r="AJ11" s="6629"/>
      <c r="AK11" s="6629"/>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6723"/>
      <c r="G12" s="6811"/>
      <c r="H12" s="6870"/>
      <c r="I12" s="1053" t="s">
        <v>88</v>
      </c>
      <c r="J12" s="1053" t="s">
        <v>1038</v>
      </c>
      <c r="K12" s="6629"/>
      <c r="L12" s="6742"/>
      <c r="M12" s="6742"/>
      <c r="N12" s="6629"/>
      <c r="O12" s="6629"/>
      <c r="P12" s="6657"/>
      <c r="Q12" s="6657"/>
      <c r="R12" s="6657"/>
      <c r="S12" s="1036" t="s">
        <v>85</v>
      </c>
      <c r="T12" s="1036" t="s">
        <v>86</v>
      </c>
      <c r="U12" s="1036" t="s">
        <v>84</v>
      </c>
      <c r="V12" s="1036" t="s">
        <v>1039</v>
      </c>
      <c r="W12" s="1036" t="s">
        <v>84</v>
      </c>
      <c r="X12" s="1036" t="s">
        <v>1040</v>
      </c>
      <c r="Y12" s="1036" t="s">
        <v>1041</v>
      </c>
      <c r="Z12" s="6713"/>
      <c r="AA12" s="6714"/>
      <c r="AB12" s="1042" t="s">
        <v>1042</v>
      </c>
      <c r="AC12" s="1042" t="s">
        <v>1043</v>
      </c>
      <c r="AD12" s="1042" t="s">
        <v>1042</v>
      </c>
      <c r="AE12" s="1042" t="s">
        <v>1043</v>
      </c>
      <c r="AF12" s="6742"/>
      <c r="AG12" s="1054" t="s">
        <v>1044</v>
      </c>
      <c r="AH12" s="1054" t="s">
        <v>1045</v>
      </c>
      <c r="AI12" s="6742"/>
      <c r="AJ12" s="1054" t="s">
        <v>1044</v>
      </c>
      <c r="AK12" s="1054" t="s">
        <v>1045</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1046</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6868"/>
      <c r="G17" s="6868"/>
      <c r="H17" s="6868"/>
      <c r="I17" s="6868"/>
      <c r="J17" s="6868"/>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6868"/>
      <c r="G18" s="6868"/>
      <c r="H18" s="6868"/>
      <c r="I18" s="6868"/>
      <c r="J18" s="6868"/>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6868"/>
      <c r="G19" s="6868"/>
      <c r="H19" s="6868"/>
      <c r="I19" s="6868"/>
      <c r="J19" s="6868"/>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6516" hidden="1" customWidth="1"/>
    <col min="4" max="4" width="4.140625" style="1830" hidden="1" customWidth="1"/>
    <col min="5" max="5" width="3.7109375" style="1822" customWidth="1"/>
    <col min="6" max="6" width="6.28515625" style="2042" customWidth="1"/>
    <col min="7" max="7" width="60.140625" style="2042" customWidth="1"/>
    <col min="8" max="9" width="21.7109375" style="2042" hidden="1" customWidth="1"/>
    <col min="10" max="10" width="0.140625" style="2042" customWidth="1"/>
    <col min="11" max="11" width="1.7109375" style="2042" customWidth="1"/>
    <col min="12" max="22" width="9.140625" style="2042"/>
  </cols>
  <sheetData>
    <row r="1" spans="1:22" s="1830" customFormat="1" ht="10.5" hidden="1" customHeight="1">
      <c r="A1" s="1066"/>
      <c r="B1" s="1066"/>
      <c r="C1" s="1066"/>
      <c r="E1" s="462"/>
    </row>
    <row r="2" spans="1:22" ht="10.5" hidden="1" customHeight="1"/>
    <row r="3" spans="1:22" s="2041" customFormat="1" ht="10.5" hidden="1" customHeight="1">
      <c r="A3" s="1066"/>
      <c r="B3" s="1066"/>
      <c r="C3" s="1066"/>
      <c r="D3" s="1060"/>
      <c r="E3" s="289"/>
    </row>
    <row r="4" spans="1:22" ht="3" customHeight="1"/>
    <row r="5" spans="1:22" ht="25.5" customHeight="1">
      <c r="F5" s="674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6747"/>
      <c r="H5" s="6747"/>
      <c r="I5" s="6747"/>
      <c r="J5" s="6747"/>
    </row>
    <row r="6" spans="1:22" ht="10.5" customHeight="1">
      <c r="F6" s="6694" t="str">
        <f>IF(org=0,"Не определено",org)</f>
        <v>ООО "Марикоммунэнерго"</v>
      </c>
      <c r="G6" s="6694"/>
      <c r="H6" s="6694"/>
      <c r="I6" s="6694"/>
      <c r="J6" s="6694"/>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17"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6874" t="s">
        <v>418</v>
      </c>
      <c r="G9" s="6875"/>
      <c r="H9" s="6875"/>
      <c r="I9" s="6875"/>
      <c r="J9" s="6875"/>
      <c r="K9" s="1149"/>
      <c r="L9" s="1057"/>
      <c r="M9" s="1057"/>
      <c r="N9" s="1057"/>
      <c r="O9" s="1057"/>
      <c r="P9" s="1057"/>
      <c r="Q9" s="1057"/>
      <c r="R9" s="1057"/>
      <c r="S9" s="1057"/>
      <c r="T9" s="1057"/>
      <c r="U9" s="1057"/>
      <c r="V9" s="1057"/>
    </row>
    <row r="10" spans="1:22" ht="24" customHeight="1">
      <c r="E10" s="1057"/>
      <c r="F10" s="6878" t="s">
        <v>87</v>
      </c>
      <c r="G10" s="6882" t="s">
        <v>1047</v>
      </c>
      <c r="H10" s="6863" t="s">
        <v>1048</v>
      </c>
      <c r="I10" s="6863"/>
      <c r="J10" s="6863"/>
      <c r="K10" s="1142"/>
      <c r="L10" s="1057"/>
      <c r="M10" s="1057"/>
      <c r="N10" s="1057"/>
      <c r="O10" s="1057"/>
      <c r="P10" s="1057"/>
      <c r="Q10" s="1057"/>
      <c r="R10" s="1057"/>
      <c r="S10" s="1057"/>
      <c r="T10" s="1057"/>
      <c r="U10" s="1057"/>
      <c r="V10" s="1057"/>
    </row>
    <row r="11" spans="1:22" ht="24" customHeight="1">
      <c r="E11" s="1057"/>
      <c r="F11" s="6879"/>
      <c r="G11" s="6882"/>
      <c r="H11" s="6881" t="e">
        <f>INDEX(IP_MAIN_LIST_NAME_IP,MATCH(H8,IP_MAIN_LIST_IP_ID,0))&amp;" ("&amp;INDEX(IP_MAIN_START_DATE,MATCH(H8,IP_MAIN_LIST_IP_ID,0))&amp;"-"&amp;INDEX(IP_MAIN_END_DATE,MATCH(H8,IP_MAIN_LIST_IP_ID,0))&amp;")"</f>
        <v>#N/A</v>
      </c>
      <c r="I11" s="6881"/>
      <c r="J11" s="6881"/>
      <c r="K11" s="1142"/>
      <c r="L11" s="1057"/>
      <c r="M11" s="1057"/>
      <c r="N11" s="1057"/>
      <c r="O11" s="1057"/>
      <c r="P11" s="1057"/>
      <c r="Q11" s="1057"/>
      <c r="R11" s="1057"/>
      <c r="S11" s="1057"/>
      <c r="T11" s="1057"/>
      <c r="U11" s="1057"/>
      <c r="V11" s="1057"/>
    </row>
    <row r="12" spans="1:22" ht="10.5" customHeight="1">
      <c r="F12" s="6880"/>
      <c r="G12" s="6882"/>
      <c r="H12" s="1135" t="s">
        <v>1049</v>
      </c>
      <c r="I12" s="1141"/>
      <c r="J12" s="1135"/>
      <c r="K12" s="1143"/>
    </row>
    <row r="13" spans="1:22" ht="10.5" hidden="1" customHeight="1">
      <c r="F13" s="1135">
        <v>1</v>
      </c>
      <c r="G13" s="1135">
        <v>2</v>
      </c>
      <c r="H13" s="1135">
        <v>3</v>
      </c>
      <c r="I13" s="1135">
        <v>4</v>
      </c>
      <c r="J13" s="1135">
        <v>5</v>
      </c>
      <c r="K13" s="1143"/>
    </row>
    <row r="14" spans="1:22" ht="11.25" customHeight="1">
      <c r="F14" s="1134" t="s">
        <v>1050</v>
      </c>
      <c r="G14" s="6876" t="s">
        <v>1051</v>
      </c>
      <c r="H14" s="6876"/>
      <c r="I14" s="6876"/>
      <c r="J14" s="6876"/>
      <c r="K14" s="1143"/>
    </row>
    <row r="15" spans="1:22" ht="11.25" customHeight="1">
      <c r="F15" s="1139">
        <v>1</v>
      </c>
      <c r="G15" s="610" t="s">
        <v>1052</v>
      </c>
      <c r="H15" s="1145">
        <f t="shared" ref="H15:H36" si="0">SUM(I15:J15)</f>
        <v>0</v>
      </c>
      <c r="I15" s="1145">
        <f>SUM(I16:I27)</f>
        <v>0</v>
      </c>
      <c r="J15" s="1134"/>
      <c r="K15" s="1143"/>
    </row>
    <row r="16" spans="1:22" ht="22.5" customHeight="1">
      <c r="F16" s="1139" t="s">
        <v>1053</v>
      </c>
      <c r="G16" s="1146" t="s">
        <v>1054</v>
      </c>
      <c r="H16" s="1145">
        <f t="shared" si="0"/>
        <v>0</v>
      </c>
      <c r="I16" s="1144"/>
      <c r="J16" s="1134"/>
      <c r="K16" s="1143"/>
    </row>
    <row r="17" spans="6:11" ht="22.5" customHeight="1">
      <c r="F17" s="1139" t="s">
        <v>1055</v>
      </c>
      <c r="G17" s="1146" t="s">
        <v>1056</v>
      </c>
      <c r="H17" s="1145">
        <f t="shared" si="0"/>
        <v>0</v>
      </c>
      <c r="I17" s="1144"/>
      <c r="J17" s="1134"/>
      <c r="K17" s="1143"/>
    </row>
    <row r="18" spans="6:11" ht="33.75" customHeight="1">
      <c r="F18" s="1139" t="s">
        <v>1057</v>
      </c>
      <c r="G18" s="1146" t="s">
        <v>1058</v>
      </c>
      <c r="H18" s="1145">
        <f t="shared" si="0"/>
        <v>0</v>
      </c>
      <c r="I18" s="1144"/>
      <c r="J18" s="1134"/>
      <c r="K18" s="1143"/>
    </row>
    <row r="19" spans="6:11" ht="33.75" customHeight="1">
      <c r="F19" s="1139" t="s">
        <v>1059</v>
      </c>
      <c r="G19" s="1146" t="s">
        <v>1060</v>
      </c>
      <c r="H19" s="1145">
        <f t="shared" si="0"/>
        <v>0</v>
      </c>
      <c r="I19" s="1144"/>
      <c r="J19" s="1134"/>
      <c r="K19" s="1143"/>
    </row>
    <row r="20" spans="6:11" ht="45" customHeight="1">
      <c r="F20" s="1139" t="s">
        <v>1061</v>
      </c>
      <c r="G20" s="1146" t="s">
        <v>1062</v>
      </c>
      <c r="H20" s="1145">
        <f t="shared" si="0"/>
        <v>0</v>
      </c>
      <c r="I20" s="1144"/>
      <c r="J20" s="1134"/>
      <c r="K20" s="1143"/>
    </row>
    <row r="21" spans="6:11" ht="33.75" customHeight="1">
      <c r="F21" s="1139" t="s">
        <v>1063</v>
      </c>
      <c r="G21" s="1146" t="s">
        <v>1064</v>
      </c>
      <c r="H21" s="1145">
        <f t="shared" si="0"/>
        <v>0</v>
      </c>
      <c r="I21" s="1144"/>
      <c r="J21" s="1134"/>
      <c r="K21" s="1143"/>
    </row>
    <row r="22" spans="6:11" ht="33.75" customHeight="1">
      <c r="F22" s="1139" t="s">
        <v>1065</v>
      </c>
      <c r="G22" s="1146" t="s">
        <v>1066</v>
      </c>
      <c r="H22" s="1145">
        <f t="shared" si="0"/>
        <v>0</v>
      </c>
      <c r="I22" s="1144"/>
      <c r="J22" s="1134"/>
      <c r="K22" s="1143"/>
    </row>
    <row r="23" spans="6:11" ht="22.5" customHeight="1">
      <c r="F23" s="1139" t="s">
        <v>1067</v>
      </c>
      <c r="G23" s="1146" t="s">
        <v>1068</v>
      </c>
      <c r="H23" s="1145">
        <f t="shared" si="0"/>
        <v>0</v>
      </c>
      <c r="I23" s="1144"/>
      <c r="J23" s="1134"/>
      <c r="K23" s="1143"/>
    </row>
    <row r="24" spans="6:11" ht="22.5" customHeight="1">
      <c r="F24" s="1139" t="s">
        <v>1069</v>
      </c>
      <c r="G24" s="1146" t="s">
        <v>1070</v>
      </c>
      <c r="H24" s="1145">
        <f t="shared" si="0"/>
        <v>0</v>
      </c>
      <c r="I24" s="1144"/>
      <c r="J24" s="1134"/>
      <c r="K24" s="1143"/>
    </row>
    <row r="25" spans="6:11" ht="33.75" customHeight="1">
      <c r="F25" s="1139" t="s">
        <v>1071</v>
      </c>
      <c r="G25" s="1146" t="s">
        <v>1072</v>
      </c>
      <c r="H25" s="1145">
        <f t="shared" si="0"/>
        <v>0</v>
      </c>
      <c r="I25" s="1144"/>
      <c r="J25" s="1134"/>
      <c r="K25" s="1143"/>
    </row>
    <row r="26" spans="6:11" ht="33.75" customHeight="1">
      <c r="F26" s="1139" t="s">
        <v>1073</v>
      </c>
      <c r="G26" s="1146" t="s">
        <v>1074</v>
      </c>
      <c r="H26" s="1145">
        <f t="shared" si="0"/>
        <v>0</v>
      </c>
      <c r="I26" s="1144"/>
      <c r="J26" s="1134"/>
      <c r="K26" s="1143"/>
    </row>
    <row r="27" spans="6:11" ht="11.25" customHeight="1">
      <c r="F27" s="1139" t="s">
        <v>1075</v>
      </c>
      <c r="G27" s="1146" t="s">
        <v>1076</v>
      </c>
      <c r="H27" s="1145">
        <f t="shared" si="0"/>
        <v>0</v>
      </c>
      <c r="I27" s="1144"/>
      <c r="J27" s="1134"/>
      <c r="K27" s="1143"/>
    </row>
    <row r="28" spans="6:11" ht="11.25" customHeight="1">
      <c r="F28" s="1139">
        <v>2</v>
      </c>
      <c r="G28" s="610" t="s">
        <v>1077</v>
      </c>
      <c r="H28" s="1145">
        <f t="shared" si="0"/>
        <v>0</v>
      </c>
      <c r="I28" s="1145">
        <f>SUM(I29:I31)</f>
        <v>0</v>
      </c>
      <c r="J28" s="1134"/>
      <c r="K28" s="1143"/>
    </row>
    <row r="29" spans="6:11" ht="11.25" customHeight="1">
      <c r="F29" s="1139" t="s">
        <v>739</v>
      </c>
      <c r="G29" s="1146" t="s">
        <v>1078</v>
      </c>
      <c r="H29" s="1145">
        <f t="shared" si="0"/>
        <v>0</v>
      </c>
      <c r="I29" s="1144"/>
      <c r="J29" s="1134"/>
      <c r="K29" s="1143"/>
    </row>
    <row r="30" spans="6:11" ht="11.25" customHeight="1">
      <c r="F30" s="1139" t="s">
        <v>425</v>
      </c>
      <c r="G30" s="1146" t="s">
        <v>1079</v>
      </c>
      <c r="H30" s="1145">
        <f t="shared" si="0"/>
        <v>0</v>
      </c>
      <c r="I30" s="1144"/>
      <c r="J30" s="1134"/>
      <c r="K30" s="1143"/>
    </row>
    <row r="31" spans="6:11" ht="11.25" customHeight="1">
      <c r="F31" s="1139" t="s">
        <v>428</v>
      </c>
      <c r="G31" s="1146" t="s">
        <v>1080</v>
      </c>
      <c r="H31" s="1145">
        <f t="shared" si="0"/>
        <v>0</v>
      </c>
      <c r="I31" s="1144"/>
      <c r="J31" s="1134"/>
      <c r="K31" s="1143"/>
    </row>
    <row r="32" spans="6:11" ht="11.25" customHeight="1">
      <c r="F32" s="1139">
        <v>3</v>
      </c>
      <c r="G32" s="610" t="s">
        <v>1081</v>
      </c>
      <c r="H32" s="1145">
        <f t="shared" si="0"/>
        <v>0</v>
      </c>
      <c r="I32" s="1145">
        <f>SUM(I33:I34)</f>
        <v>0</v>
      </c>
      <c r="J32" s="1134"/>
      <c r="K32" s="1143"/>
    </row>
    <row r="33" spans="6:11" ht="33.75" customHeight="1">
      <c r="F33" s="1139" t="s">
        <v>444</v>
      </c>
      <c r="G33" s="1146" t="s">
        <v>1082</v>
      </c>
      <c r="H33" s="1145">
        <f t="shared" si="0"/>
        <v>0</v>
      </c>
      <c r="I33" s="1144"/>
      <c r="J33" s="1134"/>
      <c r="K33" s="1143"/>
    </row>
    <row r="34" spans="6:11" ht="11.25" customHeight="1">
      <c r="F34" s="1139" t="s">
        <v>452</v>
      </c>
      <c r="G34" s="1146" t="s">
        <v>1083</v>
      </c>
      <c r="H34" s="1145">
        <f t="shared" si="0"/>
        <v>0</v>
      </c>
      <c r="I34" s="1144"/>
      <c r="J34" s="1134"/>
      <c r="K34" s="1143"/>
    </row>
    <row r="35" spans="6:11" ht="11.25" customHeight="1">
      <c r="F35" s="1139">
        <v>4</v>
      </c>
      <c r="G35" s="610" t="s">
        <v>1084</v>
      </c>
      <c r="H35" s="1145">
        <f t="shared" si="0"/>
        <v>0</v>
      </c>
      <c r="I35" s="1144"/>
      <c r="J35" s="1134"/>
      <c r="K35" s="1143"/>
    </row>
    <row r="36" spans="6:11" ht="11.25" customHeight="1">
      <c r="F36" s="1139"/>
      <c r="G36" s="613" t="s">
        <v>1085</v>
      </c>
      <c r="H36" s="1145">
        <f t="shared" si="0"/>
        <v>0</v>
      </c>
      <c r="I36" s="1145">
        <f>SUM(I15,I28,I32,I35)</f>
        <v>0</v>
      </c>
      <c r="J36" s="1134"/>
      <c r="K36" s="1143"/>
    </row>
    <row r="37" spans="6:11" ht="27.75" customHeight="1">
      <c r="F37" s="1140" t="s">
        <v>1086</v>
      </c>
      <c r="G37" s="6877" t="s">
        <v>1087</v>
      </c>
      <c r="H37" s="6877"/>
      <c r="I37" s="6877"/>
      <c r="J37" s="6877"/>
      <c r="K37" s="1143"/>
    </row>
    <row r="38" spans="6:11" ht="22.5" customHeight="1">
      <c r="F38" s="1139" t="s">
        <v>178</v>
      </c>
      <c r="G38" s="610" t="s">
        <v>1088</v>
      </c>
      <c r="H38" s="1145">
        <f t="shared" ref="H38:H58" si="1">SUM(I38:J38)</f>
        <v>0</v>
      </c>
      <c r="I38" s="1145">
        <f>SUM(I39,I44,I47)</f>
        <v>0</v>
      </c>
      <c r="J38" s="1134"/>
      <c r="K38" s="1143"/>
    </row>
    <row r="39" spans="6:11" ht="11.25" customHeight="1">
      <c r="F39" s="1139" t="s">
        <v>1053</v>
      </c>
      <c r="G39" s="1146" t="s">
        <v>1052</v>
      </c>
      <c r="H39" s="1145">
        <f t="shared" si="1"/>
        <v>0</v>
      </c>
      <c r="I39" s="1145">
        <f>SUM(I40:I43)</f>
        <v>0</v>
      </c>
      <c r="J39" s="1134"/>
      <c r="K39" s="1143"/>
    </row>
    <row r="40" spans="6:11" ht="22.5" customHeight="1">
      <c r="F40" s="1139" t="s">
        <v>1089</v>
      </c>
      <c r="G40" s="1147" t="s">
        <v>1090</v>
      </c>
      <c r="H40" s="1145">
        <f t="shared" si="1"/>
        <v>0</v>
      </c>
      <c r="I40" s="1144"/>
      <c r="J40" s="1134"/>
      <c r="K40" s="1143"/>
    </row>
    <row r="41" spans="6:11" ht="11.25" customHeight="1">
      <c r="F41" s="1139" t="s">
        <v>1091</v>
      </c>
      <c r="G41" s="1147" t="s">
        <v>1092</v>
      </c>
      <c r="H41" s="1145">
        <f t="shared" si="1"/>
        <v>0</v>
      </c>
      <c r="I41" s="1144"/>
      <c r="J41" s="1134"/>
      <c r="K41" s="1143"/>
    </row>
    <row r="42" spans="6:11" ht="11.25" customHeight="1">
      <c r="F42" s="1139" t="s">
        <v>1093</v>
      </c>
      <c r="G42" s="1147" t="s">
        <v>1094</v>
      </c>
      <c r="H42" s="1145">
        <f t="shared" si="1"/>
        <v>0</v>
      </c>
      <c r="I42" s="1144"/>
      <c r="J42" s="1134"/>
      <c r="K42" s="1143"/>
    </row>
    <row r="43" spans="6:11" ht="33.75" customHeight="1">
      <c r="F43" s="1139" t="s">
        <v>1095</v>
      </c>
      <c r="G43" s="1147" t="s">
        <v>1096</v>
      </c>
      <c r="H43" s="1145">
        <f t="shared" si="1"/>
        <v>0</v>
      </c>
      <c r="I43" s="1144"/>
      <c r="J43" s="1134"/>
      <c r="K43" s="1143"/>
    </row>
    <row r="44" spans="6:11" ht="11.25" customHeight="1">
      <c r="F44" s="1139" t="s">
        <v>1055</v>
      </c>
      <c r="G44" s="1146" t="s">
        <v>1081</v>
      </c>
      <c r="H44" s="1145">
        <f t="shared" si="1"/>
        <v>0</v>
      </c>
      <c r="I44" s="1145">
        <f>SUM(I45:I46)</f>
        <v>0</v>
      </c>
      <c r="J44" s="1134"/>
      <c r="K44" s="1143"/>
    </row>
    <row r="45" spans="6:11" ht="45" customHeight="1">
      <c r="F45" s="1139" t="s">
        <v>1097</v>
      </c>
      <c r="G45" s="1147" t="s">
        <v>1082</v>
      </c>
      <c r="H45" s="1145">
        <f t="shared" si="1"/>
        <v>0</v>
      </c>
      <c r="I45" s="1144"/>
      <c r="J45" s="1134"/>
      <c r="K45" s="1143"/>
    </row>
    <row r="46" spans="6:11" ht="11.25" customHeight="1">
      <c r="F46" s="1139" t="s">
        <v>1098</v>
      </c>
      <c r="G46" s="1147" t="s">
        <v>1083</v>
      </c>
      <c r="H46" s="1145">
        <f t="shared" si="1"/>
        <v>0</v>
      </c>
      <c r="I46" s="1144"/>
      <c r="J46" s="1134"/>
      <c r="K46" s="1143"/>
    </row>
    <row r="47" spans="6:11" ht="11.25" customHeight="1">
      <c r="F47" s="1139" t="s">
        <v>1057</v>
      </c>
      <c r="G47" s="1146" t="s">
        <v>1099</v>
      </c>
      <c r="H47" s="1145">
        <f t="shared" si="1"/>
        <v>0</v>
      </c>
      <c r="I47" s="1144"/>
      <c r="J47" s="1134"/>
      <c r="K47" s="1143"/>
    </row>
    <row r="48" spans="6:11" ht="22.5" customHeight="1">
      <c r="F48" s="1139" t="s">
        <v>98</v>
      </c>
      <c r="G48" s="610" t="s">
        <v>1100</v>
      </c>
      <c r="H48" s="1145">
        <f t="shared" si="1"/>
        <v>0</v>
      </c>
      <c r="I48" s="1145">
        <f>SUM(I49,I54,I57)</f>
        <v>0</v>
      </c>
      <c r="J48" s="1134"/>
      <c r="K48" s="1143"/>
    </row>
    <row r="49" spans="6:11" ht="11.25" customHeight="1">
      <c r="F49" s="1139" t="s">
        <v>739</v>
      </c>
      <c r="G49" s="1146" t="s">
        <v>1052</v>
      </c>
      <c r="H49" s="1145">
        <f t="shared" si="1"/>
        <v>0</v>
      </c>
      <c r="I49" s="1145">
        <f>SUM(I50:I53)</f>
        <v>0</v>
      </c>
      <c r="J49" s="1134"/>
      <c r="K49" s="1143"/>
    </row>
    <row r="50" spans="6:11" ht="22.5" customHeight="1">
      <c r="F50" s="1139" t="s">
        <v>742</v>
      </c>
      <c r="G50" s="1147" t="s">
        <v>1090</v>
      </c>
      <c r="H50" s="1145">
        <f t="shared" si="1"/>
        <v>0</v>
      </c>
      <c r="I50" s="1144"/>
      <c r="J50" s="1134"/>
      <c r="K50" s="1143"/>
    </row>
    <row r="51" spans="6:11" ht="11.25" customHeight="1">
      <c r="F51" s="1139" t="s">
        <v>745</v>
      </c>
      <c r="G51" s="1147" t="s">
        <v>1092</v>
      </c>
      <c r="H51" s="1145">
        <f t="shared" si="1"/>
        <v>0</v>
      </c>
      <c r="I51" s="1144"/>
      <c r="J51" s="1134"/>
      <c r="K51" s="1143"/>
    </row>
    <row r="52" spans="6:11" ht="11.25" customHeight="1">
      <c r="F52" s="1139" t="s">
        <v>1101</v>
      </c>
      <c r="G52" s="1147" t="s">
        <v>1094</v>
      </c>
      <c r="H52" s="1145">
        <f t="shared" si="1"/>
        <v>0</v>
      </c>
      <c r="I52" s="1144"/>
      <c r="J52" s="1134"/>
      <c r="K52" s="1143"/>
    </row>
    <row r="53" spans="6:11" ht="33.75" customHeight="1">
      <c r="F53" s="1139" t="s">
        <v>1102</v>
      </c>
      <c r="G53" s="1147" t="s">
        <v>1096</v>
      </c>
      <c r="H53" s="1145">
        <f t="shared" si="1"/>
        <v>0</v>
      </c>
      <c r="I53" s="1144"/>
      <c r="J53" s="1134"/>
      <c r="K53" s="1143"/>
    </row>
    <row r="54" spans="6:11" ht="11.25" customHeight="1">
      <c r="F54" s="1139" t="s">
        <v>425</v>
      </c>
      <c r="G54" s="1146" t="s">
        <v>1081</v>
      </c>
      <c r="H54" s="1145">
        <f t="shared" si="1"/>
        <v>0</v>
      </c>
      <c r="I54" s="1145">
        <f>SUM(I55:I56)</f>
        <v>0</v>
      </c>
      <c r="J54" s="1134"/>
      <c r="K54" s="1143"/>
    </row>
    <row r="55" spans="6:11" ht="45" customHeight="1">
      <c r="F55" s="1139" t="s">
        <v>749</v>
      </c>
      <c r="G55" s="1147" t="s">
        <v>1082</v>
      </c>
      <c r="H55" s="1145">
        <f t="shared" si="1"/>
        <v>0</v>
      </c>
      <c r="I55" s="1144"/>
      <c r="J55" s="1134"/>
      <c r="K55" s="1143"/>
    </row>
    <row r="56" spans="6:11" ht="11.25" customHeight="1">
      <c r="F56" s="1139" t="s">
        <v>751</v>
      </c>
      <c r="G56" s="1147" t="s">
        <v>1083</v>
      </c>
      <c r="H56" s="1145">
        <f t="shared" si="1"/>
        <v>0</v>
      </c>
      <c r="I56" s="1144"/>
      <c r="J56" s="1134"/>
      <c r="K56" s="1143"/>
    </row>
    <row r="57" spans="6:11" ht="11.25" customHeight="1">
      <c r="F57" s="1139" t="s">
        <v>428</v>
      </c>
      <c r="G57" s="1146" t="s">
        <v>1099</v>
      </c>
      <c r="H57" s="1145">
        <f t="shared" si="1"/>
        <v>0</v>
      </c>
      <c r="I57" s="1144"/>
      <c r="J57" s="1134"/>
      <c r="K57" s="1143"/>
    </row>
    <row r="58" spans="6:11" ht="11.25" customHeight="1">
      <c r="F58" s="1139"/>
      <c r="G58" s="1148" t="s">
        <v>1085</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6527" hidden="1" customWidth="1"/>
    <col min="2" max="2" width="4.7109375" style="6528" hidden="1" customWidth="1"/>
    <col min="3" max="4" width="4.7109375" style="6527" hidden="1" customWidth="1"/>
    <col min="5" max="5" width="3.5703125" style="6527" customWidth="1"/>
    <col min="6" max="6" width="6.7109375" style="6527" customWidth="1"/>
    <col min="7" max="7" width="18.7109375" style="6527" customWidth="1"/>
    <col min="8" max="8" width="27.28515625" style="6527" customWidth="1"/>
    <col min="9" max="9" width="18.7109375" style="6527" customWidth="1"/>
    <col min="10" max="14" width="0.85546875" style="6527" hidden="1" customWidth="1"/>
    <col min="15" max="28" width="21.7109375" style="6527" customWidth="1"/>
    <col min="29" max="71" width="0.85546875" style="6527" customWidth="1"/>
    <col min="72" max="79" width="21.7109375" style="6527" hidden="1" customWidth="1"/>
    <col min="80" max="81" width="29.140625" style="6527" hidden="1" customWidth="1"/>
    <col min="82" max="89" width="21.7109375" style="6527" hidden="1" customWidth="1"/>
    <col min="90" max="102" width="0.7109375" style="6527" hidden="1" customWidth="1"/>
    <col min="103" max="114" width="21.7109375" style="6527" hidden="1" customWidth="1"/>
    <col min="115" max="178" width="0.7109375" style="6527" hidden="1" customWidth="1"/>
    <col min="179" max="179" width="0.140625" style="6527" customWidth="1"/>
    <col min="180" max="184" width="9.140625" style="6527"/>
  </cols>
  <sheetData>
    <row r="1" spans="2:180" s="6520" customFormat="1" ht="12" hidden="1" customHeight="1">
      <c r="B1" s="835"/>
      <c r="C1" s="836"/>
      <c r="D1" s="836"/>
    </row>
    <row r="2" spans="2:180" s="6520"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6520"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6522" customFormat="1" ht="25.5" customHeight="1">
      <c r="B5" s="1781"/>
      <c r="E5" s="1782"/>
      <c r="F5" s="688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6676"/>
      <c r="H5" s="6676"/>
      <c r="I5" s="6676"/>
      <c r="J5" s="6676"/>
      <c r="K5" s="6676"/>
      <c r="L5" s="6676"/>
      <c r="M5" s="6676"/>
      <c r="N5" s="6676"/>
      <c r="O5" s="6676"/>
      <c r="P5" s="6676"/>
      <c r="Q5" s="6676"/>
      <c r="R5" s="6676"/>
      <c r="S5" s="6676"/>
      <c r="T5" s="6676"/>
      <c r="U5" s="6676"/>
      <c r="V5" s="6676"/>
      <c r="W5" s="6676"/>
      <c r="X5" s="6676"/>
      <c r="Y5" s="6676"/>
      <c r="Z5" s="6676"/>
      <c r="AA5" s="6676"/>
      <c r="AB5" s="6676"/>
      <c r="AC5" s="6676"/>
      <c r="AD5" s="6676"/>
      <c r="AE5" s="6676"/>
      <c r="AF5" s="6676"/>
      <c r="AG5" s="6676"/>
      <c r="AH5" s="6676"/>
      <c r="AI5" s="6676"/>
      <c r="AJ5" s="6676"/>
      <c r="AK5" s="6676"/>
      <c r="AL5" s="6676"/>
      <c r="AM5" s="6676"/>
      <c r="AN5" s="6676"/>
      <c r="AO5" s="6676"/>
      <c r="AP5" s="6676"/>
      <c r="AQ5" s="6676"/>
      <c r="AR5" s="6676"/>
      <c r="AS5" s="6676"/>
      <c r="AT5" s="6676"/>
      <c r="AU5" s="6676"/>
      <c r="AV5" s="6676"/>
      <c r="AW5" s="6676"/>
      <c r="AX5" s="6676"/>
      <c r="AY5" s="6676"/>
      <c r="AZ5" s="6676"/>
      <c r="BA5" s="6676"/>
      <c r="BB5" s="6676"/>
      <c r="BC5" s="6676"/>
      <c r="BD5" s="6676"/>
      <c r="BE5" s="6676"/>
      <c r="BF5" s="6676"/>
      <c r="BG5" s="6676"/>
      <c r="BH5" s="6676"/>
      <c r="BI5" s="6676"/>
      <c r="BJ5" s="6676"/>
      <c r="BK5" s="6676"/>
      <c r="BL5" s="6676"/>
      <c r="BM5" s="6676"/>
      <c r="BN5" s="6676"/>
      <c r="BO5" s="6676"/>
      <c r="BP5" s="6676"/>
      <c r="BQ5" s="6676"/>
      <c r="BR5" s="6676"/>
      <c r="BS5" s="6676"/>
    </row>
    <row r="6" spans="2:180" s="6523" customFormat="1" ht="18" customHeight="1">
      <c r="B6" s="853"/>
      <c r="E6" s="854"/>
      <c r="F6" s="6728" t="str">
        <f>IF(org=0,"Не определено",org)</f>
        <v>ООО "Марикоммунэнерго"</v>
      </c>
      <c r="G6" s="6729"/>
      <c r="H6" s="6729"/>
      <c r="I6" s="6729"/>
      <c r="J6" s="6729"/>
      <c r="K6" s="6729"/>
      <c r="L6" s="6729"/>
      <c r="M6" s="6729"/>
      <c r="N6" s="6729"/>
      <c r="O6" s="6729"/>
      <c r="P6" s="6729"/>
      <c r="Q6" s="6729"/>
      <c r="R6" s="6729"/>
      <c r="S6" s="6729"/>
      <c r="T6" s="6729"/>
      <c r="U6" s="6729"/>
      <c r="V6" s="6729"/>
      <c r="W6" s="6729"/>
      <c r="X6" s="6729"/>
      <c r="Y6" s="6729"/>
      <c r="Z6" s="6729"/>
      <c r="AA6" s="6729"/>
      <c r="AB6" s="6729"/>
      <c r="AC6" s="6729"/>
      <c r="AD6" s="6729"/>
      <c r="AE6" s="6729"/>
      <c r="AF6" s="6729"/>
      <c r="AG6" s="6729"/>
      <c r="AH6" s="6729"/>
      <c r="AI6" s="6729"/>
      <c r="AJ6" s="6729"/>
      <c r="AK6" s="6729"/>
      <c r="AL6" s="6729"/>
      <c r="AM6" s="6729"/>
      <c r="AN6" s="6729"/>
      <c r="AO6" s="6729"/>
      <c r="AP6" s="6729"/>
      <c r="AQ6" s="6729"/>
      <c r="AR6" s="6729"/>
      <c r="AS6" s="6729"/>
      <c r="AT6" s="6729"/>
      <c r="AU6" s="6729"/>
      <c r="AV6" s="6729"/>
      <c r="AW6" s="6729"/>
      <c r="AX6" s="6729"/>
      <c r="AY6" s="6729"/>
      <c r="AZ6" s="6729"/>
      <c r="BA6" s="6729"/>
      <c r="BB6" s="6729"/>
      <c r="BC6" s="6729"/>
      <c r="BD6" s="6729"/>
      <c r="BE6" s="6729"/>
      <c r="BF6" s="6729"/>
      <c r="BG6" s="6729"/>
      <c r="BH6" s="6729"/>
      <c r="BI6" s="6729"/>
      <c r="BJ6" s="6729"/>
      <c r="BK6" s="6729"/>
      <c r="BL6" s="6729"/>
      <c r="BM6" s="6729"/>
      <c r="BN6" s="6729"/>
      <c r="BO6" s="6729"/>
      <c r="BP6" s="6729"/>
      <c r="BQ6" s="6729"/>
      <c r="BR6" s="6729"/>
      <c r="BS6" s="6729"/>
    </row>
    <row r="7" spans="2:180" s="6524"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6525" customFormat="1" ht="11.25" hidden="1" customHeight="1">
      <c r="B8" s="844"/>
      <c r="F8" s="963"/>
      <c r="G8" s="680"/>
      <c r="H8" s="285"/>
      <c r="I8" s="285"/>
      <c r="J8" s="285"/>
      <c r="K8" s="285"/>
      <c r="L8" s="285"/>
      <c r="M8" s="963"/>
      <c r="N8" s="963"/>
      <c r="O8" s="6903" t="s">
        <v>1103</v>
      </c>
      <c r="P8" s="6904"/>
      <c r="Q8" s="6904"/>
      <c r="R8" s="6904"/>
      <c r="S8" s="6904"/>
      <c r="T8" s="6904"/>
      <c r="U8" s="6904"/>
      <c r="V8" s="6904"/>
      <c r="W8" s="6904"/>
      <c r="X8" s="6904"/>
      <c r="Y8" s="6904"/>
      <c r="Z8" s="6904"/>
      <c r="AA8" s="6904"/>
      <c r="AB8" s="6904"/>
      <c r="AC8" s="6904"/>
      <c r="AD8" s="6904"/>
      <c r="AE8" s="6904"/>
      <c r="AF8" s="6904"/>
      <c r="AG8" s="6904"/>
      <c r="AH8" s="6904"/>
      <c r="AI8" s="6904"/>
      <c r="AJ8" s="6904"/>
      <c r="AK8" s="6904"/>
      <c r="AL8" s="6904"/>
      <c r="AM8" s="6904"/>
      <c r="AN8" s="6904"/>
      <c r="AO8" s="6904"/>
      <c r="AP8" s="6904"/>
      <c r="AQ8" s="6904"/>
      <c r="AR8" s="6904"/>
      <c r="AS8" s="6904"/>
      <c r="AT8" s="6904"/>
      <c r="AU8" s="6904"/>
      <c r="AV8" s="6904"/>
      <c r="AW8" s="6904"/>
      <c r="AX8" s="6904"/>
      <c r="AY8" s="6904"/>
      <c r="AZ8" s="6904"/>
      <c r="BA8" s="6904"/>
      <c r="BB8" s="6904"/>
      <c r="BC8" s="6904"/>
      <c r="BD8" s="6904"/>
      <c r="BE8" s="6904"/>
      <c r="BF8" s="6904"/>
      <c r="BG8" s="6904"/>
      <c r="BH8" s="6904"/>
      <c r="BI8" s="6904"/>
      <c r="BJ8" s="6904"/>
      <c r="BK8" s="6904"/>
      <c r="BL8" s="6904"/>
      <c r="BM8" s="6904"/>
      <c r="BN8" s="6904"/>
      <c r="BO8" s="6904"/>
      <c r="BP8" s="6904"/>
      <c r="BQ8" s="6904"/>
      <c r="BR8" s="6904"/>
      <c r="BS8" s="6905"/>
      <c r="BT8" s="6892"/>
      <c r="BU8" s="6893"/>
      <c r="BV8" s="6893"/>
      <c r="BW8" s="6893"/>
      <c r="BX8" s="6893"/>
      <c r="BY8" s="6893"/>
      <c r="BZ8" s="6893"/>
      <c r="CA8" s="6893"/>
      <c r="CB8" s="6893"/>
      <c r="CC8" s="6893"/>
      <c r="CD8" s="6893"/>
      <c r="CE8" s="6893"/>
      <c r="CF8" s="6893"/>
      <c r="CG8" s="6893"/>
      <c r="CH8" s="6893"/>
      <c r="CI8" s="6893"/>
      <c r="CJ8" s="6893"/>
      <c r="CK8" s="6893"/>
      <c r="CL8" s="6893"/>
      <c r="CM8" s="6893"/>
      <c r="CN8" s="6893"/>
      <c r="CO8" s="6893"/>
      <c r="CP8" s="6893"/>
      <c r="CQ8" s="6893"/>
      <c r="CR8" s="6893"/>
      <c r="CS8" s="6893"/>
      <c r="CT8" s="6893"/>
      <c r="CU8" s="6893"/>
      <c r="CV8" s="6893"/>
      <c r="CW8" s="6893"/>
      <c r="CX8" s="6894"/>
      <c r="CY8" s="6895"/>
      <c r="CZ8" s="6896"/>
      <c r="DA8" s="6896"/>
      <c r="DB8" s="6896"/>
      <c r="DC8" s="6896"/>
      <c r="DD8" s="6896"/>
      <c r="DE8" s="6896"/>
      <c r="DF8" s="6896"/>
      <c r="DG8" s="6896"/>
      <c r="DH8" s="6896"/>
      <c r="DI8" s="6896"/>
      <c r="DJ8" s="6896"/>
      <c r="DK8" s="6896"/>
      <c r="DL8" s="6896"/>
      <c r="DM8" s="6896"/>
      <c r="DN8" s="6896"/>
      <c r="DO8" s="6896"/>
      <c r="DP8" s="6896"/>
      <c r="DQ8" s="6896"/>
      <c r="DR8" s="6896"/>
      <c r="DS8" s="6896"/>
      <c r="DT8" s="6896"/>
      <c r="DU8" s="6896"/>
      <c r="DV8" s="6896"/>
      <c r="DW8" s="6896"/>
      <c r="DX8" s="6897"/>
      <c r="DY8" s="6898" t="s">
        <v>1104</v>
      </c>
      <c r="DZ8" s="6899"/>
      <c r="EA8" s="6899"/>
      <c r="EB8" s="6899"/>
      <c r="EC8" s="6899"/>
      <c r="ED8" s="6899"/>
      <c r="EE8" s="6899"/>
      <c r="EF8" s="6899"/>
      <c r="EG8" s="6899"/>
      <c r="EH8" s="6899"/>
      <c r="EI8" s="6899"/>
      <c r="EJ8" s="6899"/>
      <c r="EK8" s="6899"/>
      <c r="EL8" s="6899"/>
      <c r="EM8" s="6899"/>
      <c r="EN8" s="6899"/>
      <c r="EO8" s="6899"/>
      <c r="EP8" s="6899"/>
      <c r="EQ8" s="6899"/>
      <c r="ER8" s="6899"/>
      <c r="ES8" s="6899"/>
      <c r="ET8" s="6899"/>
      <c r="EU8" s="6899"/>
      <c r="EV8" s="6899"/>
      <c r="EW8" s="6899"/>
      <c r="EX8" s="6899"/>
      <c r="EY8" s="6899"/>
      <c r="EZ8" s="6899"/>
      <c r="FA8" s="6899"/>
      <c r="FB8" s="6899"/>
      <c r="FC8" s="6899"/>
      <c r="FD8" s="6899"/>
      <c r="FE8" s="6899"/>
      <c r="FF8" s="6899"/>
      <c r="FG8" s="6899"/>
      <c r="FH8" s="6899"/>
      <c r="FI8" s="6899"/>
      <c r="FJ8" s="6899"/>
      <c r="FK8" s="6899"/>
      <c r="FL8" s="6899"/>
      <c r="FM8" s="6899"/>
      <c r="FN8" s="6899"/>
      <c r="FO8" s="6899"/>
      <c r="FP8" s="6899"/>
      <c r="FQ8" s="6899"/>
      <c r="FR8" s="6899"/>
      <c r="FS8" s="6899"/>
      <c r="FT8" s="6899"/>
      <c r="FU8" s="6899"/>
      <c r="FV8" s="6899"/>
      <c r="FW8" s="6900"/>
      <c r="FX8" s="963"/>
    </row>
    <row r="9" spans="2:180" s="6525"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6901"/>
      <c r="FX9" s="963"/>
    </row>
    <row r="10" spans="2:180" s="6525" customFormat="1" ht="11.25" customHeight="1">
      <c r="B10" s="844"/>
      <c r="F10" s="6866" t="s">
        <v>418</v>
      </c>
      <c r="G10" s="6883"/>
      <c r="H10" s="6883"/>
      <c r="I10" s="6883"/>
      <c r="J10" s="6883"/>
      <c r="K10" s="6883"/>
      <c r="L10" s="6883"/>
      <c r="M10" s="6883"/>
      <c r="N10" s="6883"/>
      <c r="O10" s="6883"/>
      <c r="P10" s="6883"/>
      <c r="Q10" s="6883"/>
      <c r="R10" s="6883"/>
      <c r="S10" s="6883"/>
      <c r="T10" s="6883"/>
      <c r="U10" s="6883"/>
      <c r="V10" s="6883"/>
      <c r="W10" s="6883"/>
      <c r="X10" s="6883"/>
      <c r="Y10" s="6883"/>
      <c r="Z10" s="6883"/>
      <c r="AA10" s="6883"/>
      <c r="AB10" s="6883"/>
      <c r="AC10" s="6883"/>
      <c r="AD10" s="6883"/>
      <c r="AE10" s="6883"/>
      <c r="AF10" s="6883"/>
      <c r="AG10" s="6883"/>
      <c r="AH10" s="6883"/>
      <c r="AI10" s="6883"/>
      <c r="AJ10" s="6883"/>
      <c r="AK10" s="6883"/>
      <c r="AL10" s="6883"/>
      <c r="AM10" s="6883"/>
      <c r="AN10" s="6883"/>
      <c r="AO10" s="6883"/>
      <c r="AP10" s="6883"/>
      <c r="AQ10" s="6883"/>
      <c r="AR10" s="6883"/>
      <c r="AS10" s="6883"/>
      <c r="AT10" s="6883"/>
      <c r="AU10" s="6883"/>
      <c r="AV10" s="6883"/>
      <c r="AW10" s="6883"/>
      <c r="AX10" s="6883"/>
      <c r="AY10" s="6883"/>
      <c r="AZ10" s="6883"/>
      <c r="BA10" s="6883"/>
      <c r="BB10" s="6883"/>
      <c r="BC10" s="6883"/>
      <c r="BD10" s="6883"/>
      <c r="BE10" s="6883"/>
      <c r="BF10" s="6883"/>
      <c r="BG10" s="6883"/>
      <c r="BH10" s="6883"/>
      <c r="BI10" s="6883"/>
      <c r="BJ10" s="6883"/>
      <c r="BK10" s="6883"/>
      <c r="BL10" s="6883"/>
      <c r="BM10" s="6883"/>
      <c r="BN10" s="6883"/>
      <c r="BO10" s="6883"/>
      <c r="BP10" s="6883"/>
      <c r="BQ10" s="6883"/>
      <c r="BR10" s="6883"/>
      <c r="BS10" s="6883"/>
      <c r="BT10" s="6883"/>
      <c r="BU10" s="6883"/>
      <c r="BV10" s="6883"/>
      <c r="BW10" s="6883"/>
      <c r="BX10" s="6883"/>
      <c r="BY10" s="6883"/>
      <c r="BZ10" s="6883"/>
      <c r="CA10" s="6883"/>
      <c r="CB10" s="6883"/>
      <c r="CC10" s="6883"/>
      <c r="CD10" s="6883"/>
      <c r="CE10" s="6883"/>
      <c r="CF10" s="6883"/>
      <c r="CG10" s="6883"/>
      <c r="CH10" s="6883"/>
      <c r="CI10" s="6883"/>
      <c r="CJ10" s="6883"/>
      <c r="CK10" s="6883"/>
      <c r="CL10" s="6883"/>
      <c r="CM10" s="6883"/>
      <c r="CN10" s="6883"/>
      <c r="CO10" s="6883"/>
      <c r="CP10" s="6883"/>
      <c r="CQ10" s="6883"/>
      <c r="CR10" s="6883"/>
      <c r="CS10" s="6883"/>
      <c r="CT10" s="6883"/>
      <c r="CU10" s="6883"/>
      <c r="CV10" s="6883"/>
      <c r="CW10" s="6883"/>
      <c r="CX10" s="6883"/>
      <c r="CY10" s="6883"/>
      <c r="CZ10" s="6883"/>
      <c r="DA10" s="6883"/>
      <c r="DB10" s="6883"/>
      <c r="DC10" s="6883"/>
      <c r="DD10" s="6883"/>
      <c r="DE10" s="6883"/>
      <c r="DF10" s="6883"/>
      <c r="DG10" s="6883"/>
      <c r="DH10" s="6883"/>
      <c r="DI10" s="6883"/>
      <c r="DJ10" s="6883"/>
      <c r="DK10" s="6883"/>
      <c r="DL10" s="6883"/>
      <c r="DM10" s="6883"/>
      <c r="DN10" s="6883"/>
      <c r="DO10" s="6883"/>
      <c r="DP10" s="6883"/>
      <c r="DQ10" s="6883"/>
      <c r="DR10" s="6883"/>
      <c r="DS10" s="6883"/>
      <c r="DT10" s="6883"/>
      <c r="DU10" s="6883"/>
      <c r="DV10" s="6883"/>
      <c r="DW10" s="6883"/>
      <c r="DX10" s="6883"/>
      <c r="DY10" s="6883"/>
      <c r="DZ10" s="6883"/>
      <c r="EA10" s="6883"/>
      <c r="EB10" s="6883"/>
      <c r="EC10" s="6883"/>
      <c r="ED10" s="6883"/>
      <c r="EE10" s="6883"/>
      <c r="EF10" s="6883"/>
      <c r="EG10" s="6883"/>
      <c r="EH10" s="6883"/>
      <c r="EI10" s="6883"/>
      <c r="EJ10" s="6883"/>
      <c r="EK10" s="6883"/>
      <c r="EL10" s="6883"/>
      <c r="EM10" s="6883"/>
      <c r="EN10" s="6883"/>
      <c r="EO10" s="6883"/>
      <c r="EP10" s="6883"/>
      <c r="EQ10" s="6883"/>
      <c r="ER10" s="6883"/>
      <c r="ES10" s="6883"/>
      <c r="ET10" s="6883"/>
      <c r="EU10" s="6883"/>
      <c r="EV10" s="6883"/>
      <c r="EW10" s="6883"/>
      <c r="EX10" s="6883"/>
      <c r="EY10" s="6883"/>
      <c r="EZ10" s="6883"/>
      <c r="FA10" s="6883"/>
      <c r="FB10" s="6883"/>
      <c r="FC10" s="6883"/>
      <c r="FD10" s="6883"/>
      <c r="FE10" s="6883"/>
      <c r="FF10" s="6883"/>
      <c r="FG10" s="6883"/>
      <c r="FH10" s="6883"/>
      <c r="FI10" s="6883"/>
      <c r="FJ10" s="6883"/>
      <c r="FK10" s="6883"/>
      <c r="FL10" s="6883"/>
      <c r="FM10" s="6883"/>
      <c r="FN10" s="6883"/>
      <c r="FO10" s="6883"/>
      <c r="FP10" s="6883"/>
      <c r="FQ10" s="6883"/>
      <c r="FR10" s="6883"/>
      <c r="FS10" s="6883"/>
      <c r="FT10" s="6883"/>
      <c r="FU10" s="6883"/>
      <c r="FV10" s="6884"/>
      <c r="FW10" s="6901"/>
      <c r="FX10" s="963"/>
    </row>
    <row r="11" spans="2:180" ht="12" customHeight="1">
      <c r="E11" s="846"/>
      <c r="F11" s="6718" t="s">
        <v>87</v>
      </c>
      <c r="G11" s="6718" t="s">
        <v>1105</v>
      </c>
      <c r="H11" s="6718" t="s">
        <v>1106</v>
      </c>
      <c r="I11" s="6718" t="s">
        <v>1107</v>
      </c>
      <c r="J11" s="6891"/>
      <c r="K11" s="6891"/>
      <c r="L11" s="6891"/>
      <c r="M11" s="6891"/>
      <c r="N11" s="6891"/>
      <c r="O11" s="6723" t="s">
        <v>1108</v>
      </c>
      <c r="P11" s="6723"/>
      <c r="Q11" s="6723"/>
      <c r="R11" s="6723"/>
      <c r="S11" s="6723"/>
      <c r="T11" s="6723"/>
      <c r="U11" s="6723"/>
      <c r="V11" s="6723"/>
      <c r="W11" s="6723"/>
      <c r="X11" s="6723"/>
      <c r="Y11" s="6723"/>
      <c r="Z11" s="6723"/>
      <c r="AA11" s="6723"/>
      <c r="AB11" s="6723"/>
      <c r="AC11" s="6889"/>
      <c r="AD11" s="6889"/>
      <c r="AE11" s="6889"/>
      <c r="AF11" s="6889"/>
      <c r="AG11" s="6889"/>
      <c r="AH11" s="6889"/>
      <c r="AI11" s="6889"/>
      <c r="AJ11" s="6889"/>
      <c r="AK11" s="6889"/>
      <c r="AL11" s="6889"/>
      <c r="AM11" s="6889"/>
      <c r="AN11" s="6889"/>
      <c r="AO11" s="6889"/>
      <c r="AP11" s="6889"/>
      <c r="AQ11" s="6889"/>
      <c r="AR11" s="6889"/>
      <c r="AS11" s="6889"/>
      <c r="AT11" s="6889"/>
      <c r="AU11" s="6889"/>
      <c r="AV11" s="6889"/>
      <c r="AW11" s="6889"/>
      <c r="AX11" s="6889"/>
      <c r="AY11" s="6889"/>
      <c r="AZ11" s="6889"/>
      <c r="BA11" s="6889"/>
      <c r="BB11" s="6889"/>
      <c r="BC11" s="6889"/>
      <c r="BD11" s="6889"/>
      <c r="BE11" s="6889"/>
      <c r="BF11" s="6889"/>
      <c r="BG11" s="6889"/>
      <c r="BH11" s="6889"/>
      <c r="BI11" s="6889"/>
      <c r="BJ11" s="6889"/>
      <c r="BK11" s="6889"/>
      <c r="BL11" s="6889"/>
      <c r="BM11" s="6889"/>
      <c r="BN11" s="6889"/>
      <c r="BO11" s="6889"/>
      <c r="BP11" s="6889"/>
      <c r="BQ11" s="6889"/>
      <c r="BR11" s="6889"/>
      <c r="BS11" s="6906"/>
      <c r="BT11" s="6886" t="s">
        <v>1108</v>
      </c>
      <c r="BU11" s="6887"/>
      <c r="BV11" s="6887"/>
      <c r="BW11" s="6887"/>
      <c r="BX11" s="6887"/>
      <c r="BY11" s="6887"/>
      <c r="BZ11" s="6887"/>
      <c r="CA11" s="6887"/>
      <c r="CB11" s="6887"/>
      <c r="CC11" s="6887"/>
      <c r="CD11" s="6887"/>
      <c r="CE11" s="6887"/>
      <c r="CF11" s="6887"/>
      <c r="CG11" s="6887"/>
      <c r="CH11" s="6887"/>
      <c r="CI11" s="6887"/>
      <c r="CJ11" s="6887"/>
      <c r="CK11" s="6888"/>
      <c r="CL11" s="6890"/>
      <c r="CM11" s="6889"/>
      <c r="CN11" s="6889"/>
      <c r="CO11" s="6889"/>
      <c r="CP11" s="6889"/>
      <c r="CQ11" s="6889"/>
      <c r="CR11" s="6889"/>
      <c r="CS11" s="6889"/>
      <c r="CT11" s="6889"/>
      <c r="CU11" s="6889"/>
      <c r="CV11" s="6889"/>
      <c r="CW11" s="6889"/>
      <c r="CX11" s="6906"/>
      <c r="CY11" s="6886" t="s">
        <v>1108</v>
      </c>
      <c r="CZ11" s="6887"/>
      <c r="DA11" s="6887"/>
      <c r="DB11" s="6887"/>
      <c r="DC11" s="6887"/>
      <c r="DD11" s="6887"/>
      <c r="DE11" s="6887"/>
      <c r="DF11" s="6887"/>
      <c r="DG11" s="6887"/>
      <c r="DH11" s="6887"/>
      <c r="DI11" s="6887"/>
      <c r="DJ11" s="6888"/>
      <c r="DK11" s="6890"/>
      <c r="DL11" s="6889"/>
      <c r="DM11" s="6889"/>
      <c r="DN11" s="6889"/>
      <c r="DO11" s="6889"/>
      <c r="DP11" s="6889"/>
      <c r="DQ11" s="6889"/>
      <c r="DR11" s="6889"/>
      <c r="DS11" s="6889"/>
      <c r="DT11" s="6889"/>
      <c r="DU11" s="6889"/>
      <c r="DV11" s="6889"/>
      <c r="DW11" s="6889"/>
      <c r="DX11" s="6889"/>
      <c r="DY11" s="6889"/>
      <c r="DZ11" s="6889"/>
      <c r="EA11" s="6889"/>
      <c r="EB11" s="6889"/>
      <c r="EC11" s="6889"/>
      <c r="ED11" s="6889"/>
      <c r="EE11" s="6889"/>
      <c r="EF11" s="6889"/>
      <c r="EG11" s="6889"/>
      <c r="EH11" s="6889"/>
      <c r="EI11" s="6889"/>
      <c r="EJ11" s="6889"/>
      <c r="EK11" s="6889"/>
      <c r="EL11" s="6889"/>
      <c r="EM11" s="6889"/>
      <c r="EN11" s="6889"/>
      <c r="EO11" s="6889"/>
      <c r="EP11" s="6889"/>
      <c r="EQ11" s="6889"/>
      <c r="ER11" s="6889"/>
      <c r="ES11" s="6889"/>
      <c r="ET11" s="6889"/>
      <c r="EU11" s="6889"/>
      <c r="EV11" s="6889"/>
      <c r="EW11" s="6889"/>
      <c r="EX11" s="6889"/>
      <c r="EY11" s="6889"/>
      <c r="EZ11" s="6889"/>
      <c r="FA11" s="6889"/>
      <c r="FB11" s="6889"/>
      <c r="FC11" s="6889"/>
      <c r="FD11" s="6889"/>
      <c r="FE11" s="6889"/>
      <c r="FF11" s="6889"/>
      <c r="FG11" s="6889"/>
      <c r="FH11" s="6889"/>
      <c r="FI11" s="6889"/>
      <c r="FJ11" s="6889"/>
      <c r="FK11" s="6889"/>
      <c r="FL11" s="6889"/>
      <c r="FM11" s="6889"/>
      <c r="FN11" s="6889"/>
      <c r="FO11" s="6889"/>
      <c r="FP11" s="6889"/>
      <c r="FQ11" s="6889"/>
      <c r="FR11" s="6889"/>
      <c r="FS11" s="6889"/>
      <c r="FT11" s="6889"/>
      <c r="FU11" s="6889"/>
      <c r="FV11" s="6889"/>
      <c r="FW11" s="6901"/>
      <c r="FX11" s="679"/>
    </row>
    <row r="12" spans="2:180" ht="12" customHeight="1">
      <c r="D12" s="847"/>
      <c r="E12" s="846"/>
      <c r="F12" s="6718"/>
      <c r="G12" s="6718"/>
      <c r="H12" s="6718"/>
      <c r="I12" s="6718"/>
      <c r="J12" s="6891"/>
      <c r="K12" s="6891"/>
      <c r="L12" s="6891"/>
      <c r="M12" s="6891"/>
      <c r="N12" s="6891"/>
      <c r="O12" s="6723" t="s">
        <v>1109</v>
      </c>
      <c r="P12" s="6723"/>
      <c r="Q12" s="6723"/>
      <c r="R12" s="6723"/>
      <c r="S12" s="6723" t="s">
        <v>1110</v>
      </c>
      <c r="T12" s="6723"/>
      <c r="U12" s="6723"/>
      <c r="V12" s="6723"/>
      <c r="W12" s="6723"/>
      <c r="X12" s="6723"/>
      <c r="Y12" s="6723"/>
      <c r="Z12" s="6723"/>
      <c r="AA12" s="6723"/>
      <c r="AB12" s="6723"/>
      <c r="AC12" s="6889"/>
      <c r="AD12" s="6889"/>
      <c r="AE12" s="6889"/>
      <c r="AF12" s="6889"/>
      <c r="AG12" s="6889"/>
      <c r="AH12" s="6889"/>
      <c r="AI12" s="6889"/>
      <c r="AJ12" s="6889"/>
      <c r="AK12" s="6889"/>
      <c r="AL12" s="6889"/>
      <c r="AM12" s="6889"/>
      <c r="AN12" s="6889"/>
      <c r="AO12" s="6889"/>
      <c r="AP12" s="6889"/>
      <c r="AQ12" s="6889"/>
      <c r="AR12" s="6889"/>
      <c r="AS12" s="6889"/>
      <c r="AT12" s="6889"/>
      <c r="AU12" s="6889"/>
      <c r="AV12" s="6889"/>
      <c r="AW12" s="6889"/>
      <c r="AX12" s="6889"/>
      <c r="AY12" s="6889"/>
      <c r="AZ12" s="6889"/>
      <c r="BA12" s="6889"/>
      <c r="BB12" s="6889"/>
      <c r="BC12" s="6889"/>
      <c r="BD12" s="6889"/>
      <c r="BE12" s="6889"/>
      <c r="BF12" s="6889"/>
      <c r="BG12" s="6889"/>
      <c r="BH12" s="6889"/>
      <c r="BI12" s="6889"/>
      <c r="BJ12" s="6889"/>
      <c r="BK12" s="6889"/>
      <c r="BL12" s="6889"/>
      <c r="BM12" s="6889"/>
      <c r="BN12" s="6889"/>
      <c r="BO12" s="6889"/>
      <c r="BP12" s="6889"/>
      <c r="BQ12" s="6889"/>
      <c r="BR12" s="6889"/>
      <c r="BS12" s="6906"/>
      <c r="BT12" s="6886" t="s">
        <v>1111</v>
      </c>
      <c r="BU12" s="6887"/>
      <c r="BV12" s="6887"/>
      <c r="BW12" s="6888"/>
      <c r="BX12" s="6886" t="s">
        <v>1112</v>
      </c>
      <c r="BY12" s="6887"/>
      <c r="BZ12" s="6887"/>
      <c r="CA12" s="6888"/>
      <c r="CB12" s="6886" t="s">
        <v>1113</v>
      </c>
      <c r="CC12" s="6888"/>
      <c r="CD12" s="6886" t="s">
        <v>1114</v>
      </c>
      <c r="CE12" s="6887"/>
      <c r="CF12" s="6887"/>
      <c r="CG12" s="6887"/>
      <c r="CH12" s="6887"/>
      <c r="CI12" s="6887"/>
      <c r="CJ12" s="6887"/>
      <c r="CK12" s="6888"/>
      <c r="CL12" s="6890"/>
      <c r="CM12" s="6889"/>
      <c r="CN12" s="6889"/>
      <c r="CO12" s="6889"/>
      <c r="CP12" s="6889"/>
      <c r="CQ12" s="6889"/>
      <c r="CR12" s="6889"/>
      <c r="CS12" s="6889"/>
      <c r="CT12" s="6889"/>
      <c r="CU12" s="6889"/>
      <c r="CV12" s="6889"/>
      <c r="CW12" s="6889"/>
      <c r="CX12" s="6906"/>
      <c r="CY12" s="6886" t="s">
        <v>1115</v>
      </c>
      <c r="CZ12" s="6887"/>
      <c r="DA12" s="6887"/>
      <c r="DB12" s="6887"/>
      <c r="DC12" s="6887"/>
      <c r="DD12" s="6888"/>
      <c r="DE12" s="6886" t="s">
        <v>1116</v>
      </c>
      <c r="DF12" s="6888"/>
      <c r="DG12" s="6886" t="s">
        <v>1114</v>
      </c>
      <c r="DH12" s="6887"/>
      <c r="DI12" s="6887"/>
      <c r="DJ12" s="6888"/>
      <c r="DK12" s="6890"/>
      <c r="DL12" s="6889"/>
      <c r="DM12" s="6889"/>
      <c r="DN12" s="6889"/>
      <c r="DO12" s="6889"/>
      <c r="DP12" s="6889"/>
      <c r="DQ12" s="6889"/>
      <c r="DR12" s="6889"/>
      <c r="DS12" s="6889"/>
      <c r="DT12" s="6889"/>
      <c r="DU12" s="6889"/>
      <c r="DV12" s="6889"/>
      <c r="DW12" s="6889"/>
      <c r="DX12" s="6889"/>
      <c r="DY12" s="6889"/>
      <c r="DZ12" s="6889"/>
      <c r="EA12" s="6889"/>
      <c r="EB12" s="6889"/>
      <c r="EC12" s="6889"/>
      <c r="ED12" s="6889"/>
      <c r="EE12" s="6889"/>
      <c r="EF12" s="6889"/>
      <c r="EG12" s="6889"/>
      <c r="EH12" s="6889"/>
      <c r="EI12" s="6889"/>
      <c r="EJ12" s="6889"/>
      <c r="EK12" s="6889"/>
      <c r="EL12" s="6889"/>
      <c r="EM12" s="6889"/>
      <c r="EN12" s="6889"/>
      <c r="EO12" s="6889"/>
      <c r="EP12" s="6889"/>
      <c r="EQ12" s="6889"/>
      <c r="ER12" s="6889"/>
      <c r="ES12" s="6889"/>
      <c r="ET12" s="6889"/>
      <c r="EU12" s="6889"/>
      <c r="EV12" s="6889"/>
      <c r="EW12" s="6889"/>
      <c r="EX12" s="6889"/>
      <c r="EY12" s="6889"/>
      <c r="EZ12" s="6889"/>
      <c r="FA12" s="6889"/>
      <c r="FB12" s="6889"/>
      <c r="FC12" s="6889"/>
      <c r="FD12" s="6889"/>
      <c r="FE12" s="6889"/>
      <c r="FF12" s="6889"/>
      <c r="FG12" s="6889"/>
      <c r="FH12" s="6889"/>
      <c r="FI12" s="6889"/>
      <c r="FJ12" s="6889"/>
      <c r="FK12" s="6889"/>
      <c r="FL12" s="6889"/>
      <c r="FM12" s="6889"/>
      <c r="FN12" s="6889"/>
      <c r="FO12" s="6889"/>
      <c r="FP12" s="6889"/>
      <c r="FQ12" s="6889"/>
      <c r="FR12" s="6889"/>
      <c r="FS12" s="6889"/>
      <c r="FT12" s="6889"/>
      <c r="FU12" s="6889"/>
      <c r="FV12" s="6889"/>
      <c r="FW12" s="6901"/>
      <c r="FX12" s="679"/>
    </row>
    <row r="13" spans="2:180" ht="36" customHeight="1">
      <c r="D13" s="847"/>
      <c r="E13" s="846"/>
      <c r="F13" s="6718"/>
      <c r="G13" s="6718"/>
      <c r="H13" s="6718"/>
      <c r="I13" s="6718"/>
      <c r="J13" s="6891"/>
      <c r="K13" s="6891"/>
      <c r="L13" s="6891"/>
      <c r="M13" s="6891"/>
      <c r="N13" s="6891"/>
      <c r="O13" s="6723" t="s">
        <v>1117</v>
      </c>
      <c r="P13" s="6723"/>
      <c r="Q13" s="6723"/>
      <c r="R13" s="6723"/>
      <c r="S13" s="6809" t="s">
        <v>1118</v>
      </c>
      <c r="T13" s="6869"/>
      <c r="U13" s="6629" t="s">
        <v>1119</v>
      </c>
      <c r="V13" s="6629"/>
      <c r="W13" s="6629"/>
      <c r="X13" s="6629"/>
      <c r="Y13" s="6629" t="s">
        <v>1120</v>
      </c>
      <c r="Z13" s="6629"/>
      <c r="AA13" s="6629"/>
      <c r="AB13" s="6629"/>
      <c r="AC13" s="6889"/>
      <c r="AD13" s="6889"/>
      <c r="AE13" s="6889"/>
      <c r="AF13" s="6889"/>
      <c r="AG13" s="6889"/>
      <c r="AH13" s="6889"/>
      <c r="AI13" s="6889"/>
      <c r="AJ13" s="6889"/>
      <c r="AK13" s="6889"/>
      <c r="AL13" s="6889"/>
      <c r="AM13" s="6889"/>
      <c r="AN13" s="6889"/>
      <c r="AO13" s="6889"/>
      <c r="AP13" s="6889"/>
      <c r="AQ13" s="6889"/>
      <c r="AR13" s="6889"/>
      <c r="AS13" s="6889"/>
      <c r="AT13" s="6889"/>
      <c r="AU13" s="6889"/>
      <c r="AV13" s="6889"/>
      <c r="AW13" s="6889"/>
      <c r="AX13" s="6889"/>
      <c r="AY13" s="6889"/>
      <c r="AZ13" s="6889"/>
      <c r="BA13" s="6889"/>
      <c r="BB13" s="6889"/>
      <c r="BC13" s="6889"/>
      <c r="BD13" s="6889"/>
      <c r="BE13" s="6889"/>
      <c r="BF13" s="6889"/>
      <c r="BG13" s="6889"/>
      <c r="BH13" s="6889"/>
      <c r="BI13" s="6889"/>
      <c r="BJ13" s="6889"/>
      <c r="BK13" s="6889"/>
      <c r="BL13" s="6889"/>
      <c r="BM13" s="6889"/>
      <c r="BN13" s="6889"/>
      <c r="BO13" s="6889"/>
      <c r="BP13" s="6889"/>
      <c r="BQ13" s="6889"/>
      <c r="BR13" s="6889"/>
      <c r="BS13" s="6906"/>
      <c r="BT13" s="6809" t="s">
        <v>1121</v>
      </c>
      <c r="BU13" s="6869"/>
      <c r="BV13" s="6809" t="s">
        <v>1122</v>
      </c>
      <c r="BW13" s="6869"/>
      <c r="BX13" s="6809" t="s">
        <v>1123</v>
      </c>
      <c r="BY13" s="6869"/>
      <c r="BZ13" s="6809" t="s">
        <v>1124</v>
      </c>
      <c r="CA13" s="6869"/>
      <c r="CB13" s="6809" t="s">
        <v>1125</v>
      </c>
      <c r="CC13" s="6869"/>
      <c r="CD13" s="6809" t="s">
        <v>1126</v>
      </c>
      <c r="CE13" s="6869"/>
      <c r="CF13" s="6809" t="s">
        <v>1127</v>
      </c>
      <c r="CG13" s="6869"/>
      <c r="CH13" s="6886" t="s">
        <v>1128</v>
      </c>
      <c r="CI13" s="6887"/>
      <c r="CJ13" s="6887"/>
      <c r="CK13" s="6888"/>
      <c r="CL13" s="6890"/>
      <c r="CM13" s="6889"/>
      <c r="CN13" s="6889"/>
      <c r="CO13" s="6889"/>
      <c r="CP13" s="6889"/>
      <c r="CQ13" s="6889"/>
      <c r="CR13" s="6889"/>
      <c r="CS13" s="6889"/>
      <c r="CT13" s="6889"/>
      <c r="CU13" s="6889"/>
      <c r="CV13" s="6889"/>
      <c r="CW13" s="6889"/>
      <c r="CX13" s="6906"/>
      <c r="CY13" s="6809" t="s">
        <v>1129</v>
      </c>
      <c r="CZ13" s="6869"/>
      <c r="DA13" s="6809" t="s">
        <v>1130</v>
      </c>
      <c r="DB13" s="6869"/>
      <c r="DC13" s="6809" t="s">
        <v>1131</v>
      </c>
      <c r="DD13" s="6869"/>
      <c r="DE13" s="6809" t="s">
        <v>1132</v>
      </c>
      <c r="DF13" s="6869"/>
      <c r="DG13" s="6886" t="s">
        <v>1133</v>
      </c>
      <c r="DH13" s="6887"/>
      <c r="DI13" s="6887"/>
      <c r="DJ13" s="6888"/>
      <c r="DK13" s="6890"/>
      <c r="DL13" s="6889"/>
      <c r="DM13" s="6889"/>
      <c r="DN13" s="6889"/>
      <c r="DO13" s="6889"/>
      <c r="DP13" s="6889"/>
      <c r="DQ13" s="6889"/>
      <c r="DR13" s="6889"/>
      <c r="DS13" s="6889"/>
      <c r="DT13" s="6889"/>
      <c r="DU13" s="6889"/>
      <c r="DV13" s="6889"/>
      <c r="DW13" s="6889"/>
      <c r="DX13" s="6889"/>
      <c r="DY13" s="6889"/>
      <c r="DZ13" s="6889"/>
      <c r="EA13" s="6889"/>
      <c r="EB13" s="6889"/>
      <c r="EC13" s="6889"/>
      <c r="ED13" s="6889"/>
      <c r="EE13" s="6889"/>
      <c r="EF13" s="6889"/>
      <c r="EG13" s="6889"/>
      <c r="EH13" s="6889"/>
      <c r="EI13" s="6889"/>
      <c r="EJ13" s="6889"/>
      <c r="EK13" s="6889"/>
      <c r="EL13" s="6889"/>
      <c r="EM13" s="6889"/>
      <c r="EN13" s="6889"/>
      <c r="EO13" s="6889"/>
      <c r="EP13" s="6889"/>
      <c r="EQ13" s="6889"/>
      <c r="ER13" s="6889"/>
      <c r="ES13" s="6889"/>
      <c r="ET13" s="6889"/>
      <c r="EU13" s="6889"/>
      <c r="EV13" s="6889"/>
      <c r="EW13" s="6889"/>
      <c r="EX13" s="6889"/>
      <c r="EY13" s="6889"/>
      <c r="EZ13" s="6889"/>
      <c r="FA13" s="6889"/>
      <c r="FB13" s="6889"/>
      <c r="FC13" s="6889"/>
      <c r="FD13" s="6889"/>
      <c r="FE13" s="6889"/>
      <c r="FF13" s="6889"/>
      <c r="FG13" s="6889"/>
      <c r="FH13" s="6889"/>
      <c r="FI13" s="6889"/>
      <c r="FJ13" s="6889"/>
      <c r="FK13" s="6889"/>
      <c r="FL13" s="6889"/>
      <c r="FM13" s="6889"/>
      <c r="FN13" s="6889"/>
      <c r="FO13" s="6889"/>
      <c r="FP13" s="6889"/>
      <c r="FQ13" s="6889"/>
      <c r="FR13" s="6889"/>
      <c r="FS13" s="6889"/>
      <c r="FT13" s="6889"/>
      <c r="FU13" s="6889"/>
      <c r="FV13" s="6889"/>
      <c r="FW13" s="6901"/>
      <c r="FX13" s="679"/>
    </row>
    <row r="14" spans="2:180" ht="36" customHeight="1">
      <c r="D14" s="847"/>
      <c r="E14" s="846"/>
      <c r="F14" s="6718"/>
      <c r="G14" s="6718"/>
      <c r="H14" s="6718"/>
      <c r="I14" s="6718"/>
      <c r="J14" s="6891"/>
      <c r="K14" s="6891"/>
      <c r="L14" s="6891"/>
      <c r="M14" s="6891"/>
      <c r="N14" s="6891"/>
      <c r="O14" s="6809" t="s">
        <v>1134</v>
      </c>
      <c r="P14" s="6869"/>
      <c r="Q14" s="6809" t="s">
        <v>1135</v>
      </c>
      <c r="R14" s="6869"/>
      <c r="S14" s="6810"/>
      <c r="T14" s="6724"/>
      <c r="U14" s="6809" t="s">
        <v>867</v>
      </c>
      <c r="V14" s="6869"/>
      <c r="W14" s="6809" t="s">
        <v>870</v>
      </c>
      <c r="X14" s="6869"/>
      <c r="Y14" s="6809" t="s">
        <v>867</v>
      </c>
      <c r="Z14" s="6869"/>
      <c r="AA14" s="6809" t="s">
        <v>877</v>
      </c>
      <c r="AB14" s="6869"/>
      <c r="AC14" s="6889"/>
      <c r="AD14" s="6889"/>
      <c r="AE14" s="6889"/>
      <c r="AF14" s="6889"/>
      <c r="AG14" s="6889"/>
      <c r="AH14" s="6889"/>
      <c r="AI14" s="6889"/>
      <c r="AJ14" s="6889"/>
      <c r="AK14" s="6889"/>
      <c r="AL14" s="6889"/>
      <c r="AM14" s="6889"/>
      <c r="AN14" s="6889"/>
      <c r="AO14" s="6889"/>
      <c r="AP14" s="6889"/>
      <c r="AQ14" s="6889"/>
      <c r="AR14" s="6889"/>
      <c r="AS14" s="6889"/>
      <c r="AT14" s="6889"/>
      <c r="AU14" s="6889"/>
      <c r="AV14" s="6889"/>
      <c r="AW14" s="6889"/>
      <c r="AX14" s="6889"/>
      <c r="AY14" s="6889"/>
      <c r="AZ14" s="6889"/>
      <c r="BA14" s="6889"/>
      <c r="BB14" s="6889"/>
      <c r="BC14" s="6889"/>
      <c r="BD14" s="6889"/>
      <c r="BE14" s="6889"/>
      <c r="BF14" s="6889"/>
      <c r="BG14" s="6889"/>
      <c r="BH14" s="6889"/>
      <c r="BI14" s="6889"/>
      <c r="BJ14" s="6889"/>
      <c r="BK14" s="6889"/>
      <c r="BL14" s="6889"/>
      <c r="BM14" s="6889"/>
      <c r="BN14" s="6889"/>
      <c r="BO14" s="6889"/>
      <c r="BP14" s="6889"/>
      <c r="BQ14" s="6889"/>
      <c r="BR14" s="6889"/>
      <c r="BS14" s="6906"/>
      <c r="BT14" s="6810"/>
      <c r="BU14" s="6724"/>
      <c r="BV14" s="6810"/>
      <c r="BW14" s="6724"/>
      <c r="BX14" s="6810"/>
      <c r="BY14" s="6724"/>
      <c r="BZ14" s="6810"/>
      <c r="CA14" s="6724"/>
      <c r="CB14" s="6810"/>
      <c r="CC14" s="6724"/>
      <c r="CD14" s="6810"/>
      <c r="CE14" s="6724"/>
      <c r="CF14" s="6810"/>
      <c r="CG14" s="6724"/>
      <c r="CH14" s="6809" t="s">
        <v>1136</v>
      </c>
      <c r="CI14" s="6869"/>
      <c r="CJ14" s="6809" t="s">
        <v>1137</v>
      </c>
      <c r="CK14" s="6869"/>
      <c r="CL14" s="6890"/>
      <c r="CM14" s="6889"/>
      <c r="CN14" s="6889"/>
      <c r="CO14" s="6889"/>
      <c r="CP14" s="6889"/>
      <c r="CQ14" s="6889"/>
      <c r="CR14" s="6889"/>
      <c r="CS14" s="6889"/>
      <c r="CT14" s="6889"/>
      <c r="CU14" s="6889"/>
      <c r="CV14" s="6889"/>
      <c r="CW14" s="6889"/>
      <c r="CX14" s="6906"/>
      <c r="CY14" s="6810"/>
      <c r="CZ14" s="6724"/>
      <c r="DA14" s="6810"/>
      <c r="DB14" s="6724"/>
      <c r="DC14" s="6810"/>
      <c r="DD14" s="6724"/>
      <c r="DE14" s="6810"/>
      <c r="DF14" s="6724"/>
      <c r="DG14" s="6809" t="s">
        <v>1138</v>
      </c>
      <c r="DH14" s="6869"/>
      <c r="DI14" s="6809" t="s">
        <v>1139</v>
      </c>
      <c r="DJ14" s="6869"/>
      <c r="DK14" s="6890"/>
      <c r="DL14" s="6889"/>
      <c r="DM14" s="6889"/>
      <c r="DN14" s="6889"/>
      <c r="DO14" s="6889"/>
      <c r="DP14" s="6889"/>
      <c r="DQ14" s="6889"/>
      <c r="DR14" s="6889"/>
      <c r="DS14" s="6889"/>
      <c r="DT14" s="6889"/>
      <c r="DU14" s="6889"/>
      <c r="DV14" s="6889"/>
      <c r="DW14" s="6889"/>
      <c r="DX14" s="6889"/>
      <c r="DY14" s="6889"/>
      <c r="DZ14" s="6889"/>
      <c r="EA14" s="6889"/>
      <c r="EB14" s="6889"/>
      <c r="EC14" s="6889"/>
      <c r="ED14" s="6889"/>
      <c r="EE14" s="6889"/>
      <c r="EF14" s="6889"/>
      <c r="EG14" s="6889"/>
      <c r="EH14" s="6889"/>
      <c r="EI14" s="6889"/>
      <c r="EJ14" s="6889"/>
      <c r="EK14" s="6889"/>
      <c r="EL14" s="6889"/>
      <c r="EM14" s="6889"/>
      <c r="EN14" s="6889"/>
      <c r="EO14" s="6889"/>
      <c r="EP14" s="6889"/>
      <c r="EQ14" s="6889"/>
      <c r="ER14" s="6889"/>
      <c r="ES14" s="6889"/>
      <c r="ET14" s="6889"/>
      <c r="EU14" s="6889"/>
      <c r="EV14" s="6889"/>
      <c r="EW14" s="6889"/>
      <c r="EX14" s="6889"/>
      <c r="EY14" s="6889"/>
      <c r="EZ14" s="6889"/>
      <c r="FA14" s="6889"/>
      <c r="FB14" s="6889"/>
      <c r="FC14" s="6889"/>
      <c r="FD14" s="6889"/>
      <c r="FE14" s="6889"/>
      <c r="FF14" s="6889"/>
      <c r="FG14" s="6889"/>
      <c r="FH14" s="6889"/>
      <c r="FI14" s="6889"/>
      <c r="FJ14" s="6889"/>
      <c r="FK14" s="6889"/>
      <c r="FL14" s="6889"/>
      <c r="FM14" s="6889"/>
      <c r="FN14" s="6889"/>
      <c r="FO14" s="6889"/>
      <c r="FP14" s="6889"/>
      <c r="FQ14" s="6889"/>
      <c r="FR14" s="6889"/>
      <c r="FS14" s="6889"/>
      <c r="FT14" s="6889"/>
      <c r="FU14" s="6889"/>
      <c r="FV14" s="6889"/>
      <c r="FW14" s="6901"/>
      <c r="FX14" s="679"/>
    </row>
    <row r="15" spans="2:180" ht="36" customHeight="1">
      <c r="D15" s="847"/>
      <c r="E15" s="846"/>
      <c r="F15" s="6718"/>
      <c r="G15" s="6718"/>
      <c r="H15" s="6718"/>
      <c r="I15" s="6718"/>
      <c r="J15" s="6891"/>
      <c r="K15" s="6891"/>
      <c r="L15" s="6891"/>
      <c r="M15" s="6891"/>
      <c r="N15" s="6891"/>
      <c r="O15" s="6811"/>
      <c r="P15" s="6870"/>
      <c r="Q15" s="6811"/>
      <c r="R15" s="6870"/>
      <c r="S15" s="6811"/>
      <c r="T15" s="6870"/>
      <c r="U15" s="6811"/>
      <c r="V15" s="6870"/>
      <c r="W15" s="6811"/>
      <c r="X15" s="6870"/>
      <c r="Y15" s="6811"/>
      <c r="Z15" s="6870"/>
      <c r="AA15" s="6811"/>
      <c r="AB15" s="6870"/>
      <c r="AC15" s="6889"/>
      <c r="AD15" s="6889"/>
      <c r="AE15" s="6889"/>
      <c r="AF15" s="6889"/>
      <c r="AG15" s="6889"/>
      <c r="AH15" s="6889"/>
      <c r="AI15" s="6889"/>
      <c r="AJ15" s="6889"/>
      <c r="AK15" s="6889"/>
      <c r="AL15" s="6889"/>
      <c r="AM15" s="6889"/>
      <c r="AN15" s="6889"/>
      <c r="AO15" s="6889"/>
      <c r="AP15" s="6889"/>
      <c r="AQ15" s="6889"/>
      <c r="AR15" s="6889"/>
      <c r="AS15" s="6889"/>
      <c r="AT15" s="6889"/>
      <c r="AU15" s="6889"/>
      <c r="AV15" s="6889"/>
      <c r="AW15" s="6889"/>
      <c r="AX15" s="6889"/>
      <c r="AY15" s="6889"/>
      <c r="AZ15" s="6889"/>
      <c r="BA15" s="6889"/>
      <c r="BB15" s="6889"/>
      <c r="BC15" s="6889"/>
      <c r="BD15" s="6889"/>
      <c r="BE15" s="6889"/>
      <c r="BF15" s="6889"/>
      <c r="BG15" s="6889"/>
      <c r="BH15" s="6889"/>
      <c r="BI15" s="6889"/>
      <c r="BJ15" s="6889"/>
      <c r="BK15" s="6889"/>
      <c r="BL15" s="6889"/>
      <c r="BM15" s="6889"/>
      <c r="BN15" s="6889"/>
      <c r="BO15" s="6889"/>
      <c r="BP15" s="6889"/>
      <c r="BQ15" s="6889"/>
      <c r="BR15" s="6889"/>
      <c r="BS15" s="6906"/>
      <c r="BT15" s="6811"/>
      <c r="BU15" s="6870"/>
      <c r="BV15" s="6811"/>
      <c r="BW15" s="6870"/>
      <c r="BX15" s="6811"/>
      <c r="BY15" s="6870"/>
      <c r="BZ15" s="6811"/>
      <c r="CA15" s="6870"/>
      <c r="CB15" s="6811"/>
      <c r="CC15" s="6870"/>
      <c r="CD15" s="6811"/>
      <c r="CE15" s="6870"/>
      <c r="CF15" s="6811"/>
      <c r="CG15" s="6870"/>
      <c r="CH15" s="6811"/>
      <c r="CI15" s="6870"/>
      <c r="CJ15" s="6811"/>
      <c r="CK15" s="6870"/>
      <c r="CL15" s="6890"/>
      <c r="CM15" s="6889"/>
      <c r="CN15" s="6889"/>
      <c r="CO15" s="6889"/>
      <c r="CP15" s="6889"/>
      <c r="CQ15" s="6889"/>
      <c r="CR15" s="6889"/>
      <c r="CS15" s="6889"/>
      <c r="CT15" s="6889"/>
      <c r="CU15" s="6889"/>
      <c r="CV15" s="6889"/>
      <c r="CW15" s="6889"/>
      <c r="CX15" s="6906"/>
      <c r="CY15" s="6811"/>
      <c r="CZ15" s="6870"/>
      <c r="DA15" s="6811"/>
      <c r="DB15" s="6870"/>
      <c r="DC15" s="6811"/>
      <c r="DD15" s="6870"/>
      <c r="DE15" s="6811"/>
      <c r="DF15" s="6870"/>
      <c r="DG15" s="6811"/>
      <c r="DH15" s="6870"/>
      <c r="DI15" s="6811"/>
      <c r="DJ15" s="6870"/>
      <c r="DK15" s="6890"/>
      <c r="DL15" s="6889"/>
      <c r="DM15" s="6889"/>
      <c r="DN15" s="6889"/>
      <c r="DO15" s="6889"/>
      <c r="DP15" s="6889"/>
      <c r="DQ15" s="6889"/>
      <c r="DR15" s="6889"/>
      <c r="DS15" s="6889"/>
      <c r="DT15" s="6889"/>
      <c r="DU15" s="6889"/>
      <c r="DV15" s="6889"/>
      <c r="DW15" s="6889"/>
      <c r="DX15" s="6889"/>
      <c r="DY15" s="6889"/>
      <c r="DZ15" s="6889"/>
      <c r="EA15" s="6889"/>
      <c r="EB15" s="6889"/>
      <c r="EC15" s="6889"/>
      <c r="ED15" s="6889"/>
      <c r="EE15" s="6889"/>
      <c r="EF15" s="6889"/>
      <c r="EG15" s="6889"/>
      <c r="EH15" s="6889"/>
      <c r="EI15" s="6889"/>
      <c r="EJ15" s="6889"/>
      <c r="EK15" s="6889"/>
      <c r="EL15" s="6889"/>
      <c r="EM15" s="6889"/>
      <c r="EN15" s="6889"/>
      <c r="EO15" s="6889"/>
      <c r="EP15" s="6889"/>
      <c r="EQ15" s="6889"/>
      <c r="ER15" s="6889"/>
      <c r="ES15" s="6889"/>
      <c r="ET15" s="6889"/>
      <c r="EU15" s="6889"/>
      <c r="EV15" s="6889"/>
      <c r="EW15" s="6889"/>
      <c r="EX15" s="6889"/>
      <c r="EY15" s="6889"/>
      <c r="EZ15" s="6889"/>
      <c r="FA15" s="6889"/>
      <c r="FB15" s="6889"/>
      <c r="FC15" s="6889"/>
      <c r="FD15" s="6889"/>
      <c r="FE15" s="6889"/>
      <c r="FF15" s="6889"/>
      <c r="FG15" s="6889"/>
      <c r="FH15" s="6889"/>
      <c r="FI15" s="6889"/>
      <c r="FJ15" s="6889"/>
      <c r="FK15" s="6889"/>
      <c r="FL15" s="6889"/>
      <c r="FM15" s="6889"/>
      <c r="FN15" s="6889"/>
      <c r="FO15" s="6889"/>
      <c r="FP15" s="6889"/>
      <c r="FQ15" s="6889"/>
      <c r="FR15" s="6889"/>
      <c r="FS15" s="6889"/>
      <c r="FT15" s="6889"/>
      <c r="FU15" s="6889"/>
      <c r="FV15" s="6889"/>
      <c r="FW15" s="6901"/>
      <c r="FX15" s="679"/>
    </row>
    <row r="16" spans="2:180" ht="12" customHeight="1">
      <c r="D16" s="847"/>
      <c r="E16" s="846"/>
      <c r="F16" s="6718"/>
      <c r="G16" s="6718"/>
      <c r="H16" s="6718"/>
      <c r="I16" s="6718"/>
      <c r="J16" s="6891"/>
      <c r="K16" s="6891"/>
      <c r="L16" s="6891"/>
      <c r="M16" s="6891"/>
      <c r="N16" s="6891"/>
      <c r="O16" s="6886" t="s">
        <v>857</v>
      </c>
      <c r="P16" s="6888"/>
      <c r="Q16" s="6886" t="s">
        <v>859</v>
      </c>
      <c r="R16" s="6888"/>
      <c r="S16" s="6886" t="s">
        <v>863</v>
      </c>
      <c r="T16" s="6888"/>
      <c r="U16" s="6886" t="s">
        <v>868</v>
      </c>
      <c r="V16" s="6888"/>
      <c r="W16" s="6886" t="s">
        <v>871</v>
      </c>
      <c r="X16" s="6888"/>
      <c r="Y16" s="6886" t="s">
        <v>875</v>
      </c>
      <c r="Z16" s="6888"/>
      <c r="AA16" s="6886" t="s">
        <v>878</v>
      </c>
      <c r="AB16" s="6888"/>
      <c r="AC16" s="6889"/>
      <c r="AD16" s="6889"/>
      <c r="AE16" s="6889"/>
      <c r="AF16" s="6889"/>
      <c r="AG16" s="6889"/>
      <c r="AH16" s="6889"/>
      <c r="AI16" s="6889"/>
      <c r="AJ16" s="6889"/>
      <c r="AK16" s="6889"/>
      <c r="AL16" s="6889"/>
      <c r="AM16" s="6889"/>
      <c r="AN16" s="6889"/>
      <c r="AO16" s="6889"/>
      <c r="AP16" s="6889"/>
      <c r="AQ16" s="6889"/>
      <c r="AR16" s="6889"/>
      <c r="AS16" s="6889"/>
      <c r="AT16" s="6889"/>
      <c r="AU16" s="6889"/>
      <c r="AV16" s="6889"/>
      <c r="AW16" s="6889"/>
      <c r="AX16" s="6889"/>
      <c r="AY16" s="6889"/>
      <c r="AZ16" s="6889"/>
      <c r="BA16" s="6889"/>
      <c r="BB16" s="6889"/>
      <c r="BC16" s="6889"/>
      <c r="BD16" s="6889"/>
      <c r="BE16" s="6889"/>
      <c r="BF16" s="6889"/>
      <c r="BG16" s="6889"/>
      <c r="BH16" s="6889"/>
      <c r="BI16" s="6889"/>
      <c r="BJ16" s="6889"/>
      <c r="BK16" s="6889"/>
      <c r="BL16" s="6889"/>
      <c r="BM16" s="6889"/>
      <c r="BN16" s="6889"/>
      <c r="BO16" s="6889"/>
      <c r="BP16" s="6889"/>
      <c r="BQ16" s="6889"/>
      <c r="BR16" s="6889"/>
      <c r="BS16" s="6906"/>
      <c r="BT16" s="6886" t="s">
        <v>675</v>
      </c>
      <c r="BU16" s="6888"/>
      <c r="BV16" s="6886" t="s">
        <v>675</v>
      </c>
      <c r="BW16" s="6888"/>
      <c r="BX16" s="6886" t="s">
        <v>675</v>
      </c>
      <c r="BY16" s="6888"/>
      <c r="BZ16" s="6886" t="s">
        <v>675</v>
      </c>
      <c r="CA16" s="6888"/>
      <c r="CB16" s="6886" t="s">
        <v>1140</v>
      </c>
      <c r="CC16" s="6888"/>
      <c r="CD16" s="6886" t="s">
        <v>675</v>
      </c>
      <c r="CE16" s="6888"/>
      <c r="CF16" s="6886" t="s">
        <v>1141</v>
      </c>
      <c r="CG16" s="6888"/>
      <c r="CH16" s="6886" t="s">
        <v>1142</v>
      </c>
      <c r="CI16" s="6888"/>
      <c r="CJ16" s="6886" t="s">
        <v>1142</v>
      </c>
      <c r="CK16" s="6888"/>
      <c r="CL16" s="6890"/>
      <c r="CM16" s="6889"/>
      <c r="CN16" s="6889"/>
      <c r="CO16" s="6889"/>
      <c r="CP16" s="6889"/>
      <c r="CQ16" s="6889"/>
      <c r="CR16" s="6889"/>
      <c r="CS16" s="6889"/>
      <c r="CT16" s="6889"/>
      <c r="CU16" s="6889"/>
      <c r="CV16" s="6889"/>
      <c r="CW16" s="6889"/>
      <c r="CX16" s="6906"/>
      <c r="CY16" s="6809" t="s">
        <v>675</v>
      </c>
      <c r="CZ16" s="6869"/>
      <c r="DA16" s="6809" t="s">
        <v>675</v>
      </c>
      <c r="DB16" s="6869"/>
      <c r="DC16" s="6809" t="s">
        <v>675</v>
      </c>
      <c r="DD16" s="6869"/>
      <c r="DE16" s="6886" t="s">
        <v>1140</v>
      </c>
      <c r="DF16" s="6888"/>
      <c r="DG16" s="6886" t="s">
        <v>1143</v>
      </c>
      <c r="DH16" s="6888"/>
      <c r="DI16" s="6886" t="s">
        <v>1143</v>
      </c>
      <c r="DJ16" s="6888"/>
      <c r="DK16" s="6890"/>
      <c r="DL16" s="6889"/>
      <c r="DM16" s="6889"/>
      <c r="DN16" s="6889"/>
      <c r="DO16" s="6889"/>
      <c r="DP16" s="6889"/>
      <c r="DQ16" s="6889"/>
      <c r="DR16" s="6889"/>
      <c r="DS16" s="6889"/>
      <c r="DT16" s="6889"/>
      <c r="DU16" s="6889"/>
      <c r="DV16" s="6889"/>
      <c r="DW16" s="6889"/>
      <c r="DX16" s="6889"/>
      <c r="DY16" s="6889"/>
      <c r="DZ16" s="6889"/>
      <c r="EA16" s="6889"/>
      <c r="EB16" s="6889"/>
      <c r="EC16" s="6889"/>
      <c r="ED16" s="6889"/>
      <c r="EE16" s="6889"/>
      <c r="EF16" s="6889"/>
      <c r="EG16" s="6889"/>
      <c r="EH16" s="6889"/>
      <c r="EI16" s="6889"/>
      <c r="EJ16" s="6889"/>
      <c r="EK16" s="6889"/>
      <c r="EL16" s="6889"/>
      <c r="EM16" s="6889"/>
      <c r="EN16" s="6889"/>
      <c r="EO16" s="6889"/>
      <c r="EP16" s="6889"/>
      <c r="EQ16" s="6889"/>
      <c r="ER16" s="6889"/>
      <c r="ES16" s="6889"/>
      <c r="ET16" s="6889"/>
      <c r="EU16" s="6889"/>
      <c r="EV16" s="6889"/>
      <c r="EW16" s="6889"/>
      <c r="EX16" s="6889"/>
      <c r="EY16" s="6889"/>
      <c r="EZ16" s="6889"/>
      <c r="FA16" s="6889"/>
      <c r="FB16" s="6889"/>
      <c r="FC16" s="6889"/>
      <c r="FD16" s="6889"/>
      <c r="FE16" s="6889"/>
      <c r="FF16" s="6889"/>
      <c r="FG16" s="6889"/>
      <c r="FH16" s="6889"/>
      <c r="FI16" s="6889"/>
      <c r="FJ16" s="6889"/>
      <c r="FK16" s="6889"/>
      <c r="FL16" s="6889"/>
      <c r="FM16" s="6889"/>
      <c r="FN16" s="6889"/>
      <c r="FO16" s="6889"/>
      <c r="FP16" s="6889"/>
      <c r="FQ16" s="6889"/>
      <c r="FR16" s="6889"/>
      <c r="FS16" s="6889"/>
      <c r="FT16" s="6889"/>
      <c r="FU16" s="6889"/>
      <c r="FV16" s="6889"/>
      <c r="FW16" s="6901"/>
      <c r="FX16" s="679"/>
    </row>
    <row r="17" spans="1:184" ht="15" customHeight="1">
      <c r="E17" s="846"/>
      <c r="F17" s="6718"/>
      <c r="G17" s="6718"/>
      <c r="H17" s="6718"/>
      <c r="I17" s="6718"/>
      <c r="J17" s="6891"/>
      <c r="K17" s="6891"/>
      <c r="L17" s="6891"/>
      <c r="M17" s="6891"/>
      <c r="N17" s="6891"/>
      <c r="O17" s="1093" t="s">
        <v>1144</v>
      </c>
      <c r="P17" s="1093" t="s">
        <v>1145</v>
      </c>
      <c r="Q17" s="1093" t="s">
        <v>1144</v>
      </c>
      <c r="R17" s="1093" t="s">
        <v>1145</v>
      </c>
      <c r="S17" s="1093" t="s">
        <v>1144</v>
      </c>
      <c r="T17" s="1093" t="s">
        <v>1145</v>
      </c>
      <c r="U17" s="1093" t="s">
        <v>1144</v>
      </c>
      <c r="V17" s="1093" t="s">
        <v>1145</v>
      </c>
      <c r="W17" s="1093" t="s">
        <v>1144</v>
      </c>
      <c r="X17" s="1093" t="s">
        <v>1145</v>
      </c>
      <c r="Y17" s="1093" t="s">
        <v>1144</v>
      </c>
      <c r="Z17" s="1093" t="s">
        <v>1145</v>
      </c>
      <c r="AA17" s="1093" t="s">
        <v>1144</v>
      </c>
      <c r="AB17" s="1093" t="s">
        <v>1145</v>
      </c>
      <c r="AC17" s="6889"/>
      <c r="AD17" s="6889"/>
      <c r="AE17" s="6889"/>
      <c r="AF17" s="6889"/>
      <c r="AG17" s="6889"/>
      <c r="AH17" s="6889"/>
      <c r="AI17" s="6889"/>
      <c r="AJ17" s="6889"/>
      <c r="AK17" s="6889"/>
      <c r="AL17" s="6889"/>
      <c r="AM17" s="6889"/>
      <c r="AN17" s="6889"/>
      <c r="AO17" s="6889"/>
      <c r="AP17" s="6889"/>
      <c r="AQ17" s="6889"/>
      <c r="AR17" s="6889"/>
      <c r="AS17" s="6889"/>
      <c r="AT17" s="6889"/>
      <c r="AU17" s="6889"/>
      <c r="AV17" s="6889"/>
      <c r="AW17" s="6889"/>
      <c r="AX17" s="6889"/>
      <c r="AY17" s="6889"/>
      <c r="AZ17" s="6889"/>
      <c r="BA17" s="6889"/>
      <c r="BB17" s="6889"/>
      <c r="BC17" s="6889"/>
      <c r="BD17" s="6889"/>
      <c r="BE17" s="6889"/>
      <c r="BF17" s="6889"/>
      <c r="BG17" s="6889"/>
      <c r="BH17" s="6889"/>
      <c r="BI17" s="6889"/>
      <c r="BJ17" s="6889"/>
      <c r="BK17" s="6889"/>
      <c r="BL17" s="6889"/>
      <c r="BM17" s="6889"/>
      <c r="BN17" s="6889"/>
      <c r="BO17" s="6889"/>
      <c r="BP17" s="6889"/>
      <c r="BQ17" s="6889"/>
      <c r="BR17" s="6889"/>
      <c r="BS17" s="6906"/>
      <c r="BT17" s="1093" t="s">
        <v>1144</v>
      </c>
      <c r="BU17" s="1093" t="s">
        <v>1145</v>
      </c>
      <c r="BV17" s="1093" t="s">
        <v>1144</v>
      </c>
      <c r="BW17" s="1093" t="s">
        <v>1145</v>
      </c>
      <c r="BX17" s="1093" t="s">
        <v>1144</v>
      </c>
      <c r="BY17" s="1093" t="s">
        <v>1145</v>
      </c>
      <c r="BZ17" s="1093" t="s">
        <v>1144</v>
      </c>
      <c r="CA17" s="1093" t="s">
        <v>1145</v>
      </c>
      <c r="CB17" s="1093" t="s">
        <v>1144</v>
      </c>
      <c r="CC17" s="1093" t="s">
        <v>1145</v>
      </c>
      <c r="CD17" s="1093" t="s">
        <v>1144</v>
      </c>
      <c r="CE17" s="1093" t="s">
        <v>1145</v>
      </c>
      <c r="CF17" s="1093" t="s">
        <v>1144</v>
      </c>
      <c r="CG17" s="1093" t="s">
        <v>1145</v>
      </c>
      <c r="CH17" s="1093" t="s">
        <v>1144</v>
      </c>
      <c r="CI17" s="1093" t="s">
        <v>1145</v>
      </c>
      <c r="CJ17" s="1093" t="s">
        <v>1144</v>
      </c>
      <c r="CK17" s="1093" t="s">
        <v>1145</v>
      </c>
      <c r="CL17" s="6890"/>
      <c r="CM17" s="6889"/>
      <c r="CN17" s="6889"/>
      <c r="CO17" s="6889"/>
      <c r="CP17" s="6889"/>
      <c r="CQ17" s="6889"/>
      <c r="CR17" s="6889"/>
      <c r="CS17" s="6889"/>
      <c r="CT17" s="6889"/>
      <c r="CU17" s="6889"/>
      <c r="CV17" s="6889"/>
      <c r="CW17" s="6889"/>
      <c r="CX17" s="6906"/>
      <c r="CY17" s="1093" t="s">
        <v>1144</v>
      </c>
      <c r="CZ17" s="1093" t="s">
        <v>1145</v>
      </c>
      <c r="DA17" s="1093" t="s">
        <v>1144</v>
      </c>
      <c r="DB17" s="1093" t="s">
        <v>1145</v>
      </c>
      <c r="DC17" s="1093" t="s">
        <v>1144</v>
      </c>
      <c r="DD17" s="1093" t="s">
        <v>1145</v>
      </c>
      <c r="DE17" s="1093" t="s">
        <v>1144</v>
      </c>
      <c r="DF17" s="1093" t="s">
        <v>1145</v>
      </c>
      <c r="DG17" s="1093" t="s">
        <v>1144</v>
      </c>
      <c r="DH17" s="1093" t="s">
        <v>1145</v>
      </c>
      <c r="DI17" s="1093" t="s">
        <v>1144</v>
      </c>
      <c r="DJ17" s="1093" t="s">
        <v>1145</v>
      </c>
      <c r="DK17" s="6890"/>
      <c r="DL17" s="6889"/>
      <c r="DM17" s="6889"/>
      <c r="DN17" s="6889"/>
      <c r="DO17" s="6889"/>
      <c r="DP17" s="6889"/>
      <c r="DQ17" s="6889"/>
      <c r="DR17" s="6889"/>
      <c r="DS17" s="6889"/>
      <c r="DT17" s="6889"/>
      <c r="DU17" s="6889"/>
      <c r="DV17" s="6889"/>
      <c r="DW17" s="6889"/>
      <c r="DX17" s="6889"/>
      <c r="DY17" s="6889"/>
      <c r="DZ17" s="6889"/>
      <c r="EA17" s="6889"/>
      <c r="EB17" s="6889"/>
      <c r="EC17" s="6889"/>
      <c r="ED17" s="6889"/>
      <c r="EE17" s="6889"/>
      <c r="EF17" s="6889"/>
      <c r="EG17" s="6889"/>
      <c r="EH17" s="6889"/>
      <c r="EI17" s="6889"/>
      <c r="EJ17" s="6889"/>
      <c r="EK17" s="6889"/>
      <c r="EL17" s="6889"/>
      <c r="EM17" s="6889"/>
      <c r="EN17" s="6889"/>
      <c r="EO17" s="6889"/>
      <c r="EP17" s="6889"/>
      <c r="EQ17" s="6889"/>
      <c r="ER17" s="6889"/>
      <c r="ES17" s="6889"/>
      <c r="ET17" s="6889"/>
      <c r="EU17" s="6889"/>
      <c r="EV17" s="6889"/>
      <c r="EW17" s="6889"/>
      <c r="EX17" s="6889"/>
      <c r="EY17" s="6889"/>
      <c r="EZ17" s="6889"/>
      <c r="FA17" s="6889"/>
      <c r="FB17" s="6889"/>
      <c r="FC17" s="6889"/>
      <c r="FD17" s="6889"/>
      <c r="FE17" s="6889"/>
      <c r="FF17" s="6889"/>
      <c r="FG17" s="6889"/>
      <c r="FH17" s="6889"/>
      <c r="FI17" s="6889"/>
      <c r="FJ17" s="6889"/>
      <c r="FK17" s="6889"/>
      <c r="FL17" s="6889"/>
      <c r="FM17" s="6889"/>
      <c r="FN17" s="6889"/>
      <c r="FO17" s="6889"/>
      <c r="FP17" s="6889"/>
      <c r="FQ17" s="6889"/>
      <c r="FR17" s="6889"/>
      <c r="FS17" s="6889"/>
      <c r="FT17" s="6889"/>
      <c r="FU17" s="6889"/>
      <c r="FV17" s="6889"/>
      <c r="FW17" s="6902"/>
      <c r="FX17" s="679"/>
    </row>
    <row r="18" spans="1:184" s="6521"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6521"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6520" customFormat="1" ht="11.25" hidden="1" customHeight="1">
      <c r="B20" s="849"/>
      <c r="D20" s="836"/>
      <c r="E20" s="848"/>
      <c r="F20" s="1099" t="s">
        <v>496</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6520"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6520" customFormat="1" ht="12" customHeight="1">
      <c r="A22" s="850"/>
      <c r="B22" s="850"/>
      <c r="C22" s="850"/>
      <c r="D22" s="850"/>
      <c r="E22" s="850"/>
      <c r="FX22" s="850"/>
      <c r="FY22" s="850"/>
      <c r="FZ22" s="850"/>
      <c r="GA22" s="850"/>
      <c r="GB22" s="850"/>
    </row>
    <row r="23" spans="1:184" s="6526"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3" hidden="1" customWidth="1"/>
    <col min="2" max="2" width="2" style="1843" hidden="1" customWidth="1"/>
    <col min="3" max="3" width="3.7109375" style="1843" customWidth="1"/>
    <col min="4" max="4" width="4.28515625" style="1843" customWidth="1"/>
    <col min="5" max="5" width="45" style="1843" customWidth="1"/>
    <col min="6" max="6" width="6.42578125" style="1843" customWidth="1"/>
    <col min="7" max="7" width="4.42578125" style="1843" customWidth="1"/>
    <col min="8" max="8" width="5.5703125" style="1843" customWidth="1"/>
    <col min="9" max="9" width="52.85546875" style="1843" customWidth="1"/>
    <col min="10" max="10" width="7" style="1843" customWidth="1"/>
    <col min="11" max="11" width="3.7109375" style="1843" customWidth="1"/>
    <col min="12" max="12" width="6.28515625" style="1843" customWidth="1"/>
    <col min="13" max="13" width="56.28515625" style="1843" customWidth="1"/>
    <col min="14" max="14" width="9.140625" style="1836"/>
    <col min="15" max="20" width="9.140625" style="1840" hidden="1"/>
    <col min="21" max="24" width="9.140625" style="1844" hidden="1"/>
    <col min="25" max="37" width="9.140625" style="1836" hidden="1"/>
    <col min="38" max="38" width="9.140625" style="1836"/>
  </cols>
  <sheetData>
    <row r="1" spans="1:38" ht="11.25" hidden="1" customHeight="1"/>
    <row r="2" spans="1:38" ht="11.25" hidden="1" customHeight="1"/>
    <row r="4" spans="1:38" ht="34.5" customHeight="1">
      <c r="A4" s="509"/>
      <c r="B4" s="509"/>
      <c r="D4" s="6622" t="str">
        <f>Титульный!E5</f>
        <v>Показатели, подлежащие раскрытию в сфере теплоснабжения (цены и тарифы)</v>
      </c>
      <c r="E4" s="6623"/>
      <c r="F4" s="6623"/>
      <c r="G4" s="6623"/>
      <c r="H4" s="6623"/>
      <c r="I4" s="6624"/>
      <c r="J4" s="508"/>
      <c r="K4" s="508"/>
      <c r="L4" s="508"/>
      <c r="M4" s="508"/>
    </row>
    <row r="5" spans="1:38" s="1837" customFormat="1" ht="15" customHeight="1">
      <c r="A5" s="509"/>
      <c r="B5" s="509"/>
      <c r="C5" s="509"/>
      <c r="D5" s="6625" t="str">
        <f>IF(org=0,"Не определено",org)</f>
        <v>ООО "Марикоммунэнерго"</v>
      </c>
      <c r="E5" s="6626"/>
      <c r="F5" s="6626"/>
      <c r="G5" s="6626"/>
      <c r="H5" s="6626"/>
      <c r="I5" s="6627"/>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8" customFormat="1" ht="6" customHeight="1">
      <c r="A6" s="6603"/>
      <c r="B6" s="6603"/>
      <c r="C6" s="6603"/>
      <c r="D6" s="6603"/>
      <c r="E6" s="6603"/>
      <c r="F6" s="6603"/>
      <c r="G6" s="511"/>
      <c r="H6" s="511"/>
      <c r="I6" s="511"/>
      <c r="J6" s="511"/>
      <c r="K6" s="511"/>
      <c r="N6" s="513"/>
      <c r="O6" s="1329"/>
      <c r="P6" s="1329"/>
      <c r="Q6" s="1329"/>
      <c r="R6" s="1329"/>
      <c r="S6" s="1329"/>
      <c r="T6" s="1329"/>
      <c r="U6" s="1183"/>
      <c r="V6" s="1183"/>
      <c r="W6" s="1183"/>
      <c r="X6" s="1183"/>
      <c r="Y6" s="513"/>
      <c r="Z6" s="513"/>
      <c r="AA6" s="513"/>
      <c r="AB6" s="513"/>
      <c r="AC6" s="513"/>
      <c r="AD6" s="513"/>
      <c r="AE6" s="513"/>
      <c r="AF6" s="513"/>
      <c r="AG6" s="513"/>
      <c r="AH6" s="513"/>
      <c r="AI6" s="513"/>
      <c r="AJ6" s="513"/>
      <c r="AK6" s="513"/>
      <c r="AL6" s="513"/>
    </row>
    <row r="7" spans="1:38" ht="45.75" hidden="1" customHeight="1">
      <c r="E7" s="663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6633"/>
      <c r="G7" s="6633"/>
      <c r="H7" s="6633"/>
      <c r="I7" s="6633"/>
      <c r="J7" s="6633"/>
      <c r="K7" s="6633"/>
      <c r="L7" s="6633"/>
      <c r="M7" s="6633"/>
    </row>
    <row r="8" spans="1:38" s="1837"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6628"/>
      <c r="B9" s="249"/>
      <c r="C9" s="249"/>
      <c r="D9" s="6629" t="s">
        <v>174</v>
      </c>
      <c r="E9" s="6629"/>
      <c r="F9" s="6630" t="s">
        <v>175</v>
      </c>
      <c r="G9" s="6631"/>
      <c r="H9" s="6631"/>
      <c r="I9" s="6631"/>
      <c r="J9" s="6634" t="s">
        <v>176</v>
      </c>
      <c r="K9" s="6634"/>
      <c r="L9" s="6634"/>
      <c r="M9" s="6634"/>
    </row>
    <row r="10" spans="1:38" ht="22.5" customHeight="1">
      <c r="A10" s="6628"/>
      <c r="B10" s="515"/>
      <c r="C10" s="451"/>
      <c r="D10" s="449" t="s">
        <v>87</v>
      </c>
      <c r="E10" s="449" t="s">
        <v>88</v>
      </c>
      <c r="F10" s="449" t="s">
        <v>177</v>
      </c>
      <c r="G10" s="6635" t="s">
        <v>87</v>
      </c>
      <c r="H10" s="6636"/>
      <c r="I10" s="449" t="s">
        <v>88</v>
      </c>
      <c r="J10" s="449" t="s">
        <v>177</v>
      </c>
      <c r="K10" s="6635" t="s">
        <v>87</v>
      </c>
      <c r="L10" s="6636"/>
      <c r="M10" s="449" t="s">
        <v>88</v>
      </c>
      <c r="N10" s="1538"/>
    </row>
    <row r="11" spans="1:38" s="1839" customFormat="1" ht="11.25" hidden="1" customHeight="1">
      <c r="A11" s="516"/>
      <c r="B11" s="516"/>
      <c r="C11" s="516"/>
      <c r="D11" s="517" t="s">
        <v>178</v>
      </c>
      <c r="E11" s="517" t="s">
        <v>98</v>
      </c>
      <c r="F11" s="517" t="s">
        <v>89</v>
      </c>
      <c r="G11" s="6618" t="s">
        <v>90</v>
      </c>
      <c r="H11" s="6619"/>
      <c r="I11" s="517" t="s">
        <v>115</v>
      </c>
      <c r="J11" s="517" t="s">
        <v>91</v>
      </c>
      <c r="K11" s="6620" t="s">
        <v>92</v>
      </c>
      <c r="L11" s="6621"/>
      <c r="M11" s="517" t="s">
        <v>128</v>
      </c>
      <c r="N11" s="1537"/>
      <c r="O11" s="1328"/>
      <c r="P11" s="1330"/>
      <c r="Q11" s="1330"/>
      <c r="R11" s="1330"/>
      <c r="S11" s="1330"/>
      <c r="T11" s="1330"/>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8"/>
      <c r="O12" s="1328" t="s">
        <v>179</v>
      </c>
      <c r="P12" s="1328" t="s">
        <v>180</v>
      </c>
      <c r="Q12" s="1328" t="s">
        <v>181</v>
      </c>
      <c r="R12" s="1328" t="s">
        <v>182</v>
      </c>
    </row>
    <row r="13" spans="1:38" s="1841" customFormat="1" ht="15" customHeight="1">
      <c r="A13" s="212"/>
      <c r="B13" s="212"/>
      <c r="C13" s="452"/>
      <c r="D13" s="6611" t="s">
        <v>178</v>
      </c>
      <c r="E13" s="6612"/>
      <c r="F13" s="6615" t="s">
        <v>61</v>
      </c>
      <c r="G13" s="6616"/>
      <c r="H13" s="6617">
        <v>1</v>
      </c>
      <c r="I13" s="6608" t="str">
        <f>IF(U13="","",INDEX(TERRITORY_MR_LIST,MATCH(U13,TERRITORY_LIST_ID,0)))</f>
        <v/>
      </c>
      <c r="J13" s="6610" t="s">
        <v>56</v>
      </c>
      <c r="K13" s="524"/>
      <c r="L13" s="453" t="s">
        <v>178</v>
      </c>
      <c r="M13" s="525" t="s">
        <v>24</v>
      </c>
      <c r="N13" s="729"/>
      <c r="O13" s="1331" t="s">
        <v>183</v>
      </c>
      <c r="P13" s="1328">
        <f>$E$13</f>
        <v>0</v>
      </c>
      <c r="Q13" s="1328" t="str">
        <f>IF($F$13="нет","без дифференциации",$I$13)</f>
        <v/>
      </c>
      <c r="R13" s="1328" t="str">
        <f>IF($J$13="нет","без дифференциации",M13)</f>
        <v>без дифференциации</v>
      </c>
      <c r="S13" s="1331"/>
      <c r="T13" s="1331"/>
      <c r="U13" s="1185"/>
      <c r="V13" s="1185"/>
      <c r="W13" s="1185"/>
      <c r="X13" s="1185"/>
      <c r="Y13" s="526" t="s">
        <v>184</v>
      </c>
      <c r="Z13" s="526">
        <v>1705000</v>
      </c>
      <c r="AA13" s="526"/>
      <c r="AB13" s="526"/>
      <c r="AC13" s="526"/>
      <c r="AD13" s="526"/>
      <c r="AE13" s="526"/>
      <c r="AF13" s="526"/>
      <c r="AG13" s="526"/>
      <c r="AH13" s="526"/>
      <c r="AI13" s="526"/>
      <c r="AJ13" s="526"/>
      <c r="AK13" s="526"/>
      <c r="AL13" s="526"/>
    </row>
    <row r="14" spans="1:38" s="1841" customFormat="1" ht="15" customHeight="1">
      <c r="A14" s="212"/>
      <c r="B14" s="212"/>
      <c r="C14" s="97"/>
      <c r="D14" s="6611"/>
      <c r="E14" s="6613"/>
      <c r="F14" s="6610"/>
      <c r="G14" s="6616"/>
      <c r="H14" s="6617"/>
      <c r="I14" s="6609"/>
      <c r="J14" s="6610"/>
      <c r="K14" s="354"/>
      <c r="L14" s="98"/>
      <c r="M14" s="528" t="s">
        <v>185</v>
      </c>
      <c r="N14" s="729"/>
      <c r="O14" s="1331"/>
      <c r="P14" s="1328"/>
      <c r="Q14" s="1328"/>
      <c r="R14" s="1328"/>
      <c r="S14" s="1331"/>
      <c r="T14" s="1331"/>
      <c r="U14" s="1185"/>
      <c r="V14" s="1185"/>
      <c r="W14" s="1185"/>
      <c r="X14" s="1185"/>
      <c r="Y14" s="526"/>
      <c r="Z14" s="526"/>
      <c r="AA14" s="526"/>
      <c r="AB14" s="526"/>
      <c r="AC14" s="526"/>
      <c r="AD14" s="526"/>
      <c r="AE14" s="526"/>
      <c r="AF14" s="526"/>
      <c r="AG14" s="526"/>
      <c r="AH14" s="526"/>
      <c r="AI14" s="526"/>
      <c r="AJ14" s="526"/>
      <c r="AK14" s="526"/>
      <c r="AL14" s="526"/>
    </row>
    <row r="15" spans="1:38" s="1841" customFormat="1" ht="15" customHeight="1">
      <c r="A15" s="212"/>
      <c r="B15" s="212"/>
      <c r="C15" s="97"/>
      <c r="D15" s="6611"/>
      <c r="E15" s="6614"/>
      <c r="F15" s="6610"/>
      <c r="G15" s="967"/>
      <c r="H15" s="968"/>
      <c r="I15" s="505" t="s">
        <v>186</v>
      </c>
      <c r="J15" s="98"/>
      <c r="K15" s="98"/>
      <c r="L15" s="98"/>
      <c r="M15" s="529"/>
      <c r="N15" s="729"/>
      <c r="O15" s="1331"/>
      <c r="P15" s="1328"/>
      <c r="Q15" s="1328"/>
      <c r="R15" s="1328"/>
      <c r="S15" s="1331"/>
      <c r="T15" s="1331"/>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187</v>
      </c>
      <c r="F16" s="98"/>
      <c r="G16" s="98"/>
      <c r="H16" s="98"/>
      <c r="I16" s="98"/>
      <c r="J16" s="98"/>
      <c r="K16" s="98" t="s">
        <v>24</v>
      </c>
      <c r="L16" s="98"/>
      <c r="M16" s="529"/>
      <c r="N16" s="153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057" hidden="1" customWidth="1"/>
    <col min="2" max="2" width="9.140625" style="2059" hidden="1" customWidth="1"/>
    <col min="3" max="3" width="4.7109375" style="6514" customWidth="1"/>
    <col min="4" max="4" width="6.28515625" style="2059" customWidth="1"/>
    <col min="5" max="5" width="36.7109375" style="2059" customWidth="1"/>
    <col min="6" max="6" width="9.5703125" style="2059" customWidth="1"/>
    <col min="7" max="7" width="42.42578125" style="1820" hidden="1" customWidth="1"/>
    <col min="8" max="8" width="40.7109375" style="2059" customWidth="1"/>
    <col min="9" max="9" width="93.42578125" style="1821" customWidth="1"/>
    <col min="10" max="17" width="10.5703125" style="2059"/>
    <col min="18" max="18" width="10.5703125" style="6513"/>
  </cols>
  <sheetData>
    <row r="1" spans="1:18" s="1821" customFormat="1" ht="15" hidden="1" customHeight="1">
      <c r="C1" s="593"/>
      <c r="H1" s="351">
        <v>4</v>
      </c>
      <c r="R1" s="353"/>
    </row>
    <row r="2" spans="1:18" ht="22.5" hidden="1" customHeight="1">
      <c r="D2" s="464"/>
      <c r="E2" s="584"/>
      <c r="F2" s="1669" t="str">
        <f>IF(TEMPLATE_SPHERE="HEAT","Гкал/час","тыс. куб. м/сутки")</f>
        <v>Гкал/час</v>
      </c>
      <c r="G2" s="601"/>
      <c r="H2" s="601"/>
      <c r="I2" s="208"/>
    </row>
    <row r="3" spans="1:18" s="1821" customFormat="1" ht="15" hidden="1" customHeight="1">
      <c r="C3" s="593"/>
      <c r="R3" s="353"/>
    </row>
    <row r="4" spans="1:18" ht="15" customHeight="1">
      <c r="C4" s="97"/>
      <c r="D4" s="435"/>
      <c r="E4" s="435"/>
      <c r="F4" s="435"/>
      <c r="G4" s="435"/>
      <c r="H4" s="435"/>
    </row>
    <row r="5" spans="1:18" ht="37.5" customHeight="1">
      <c r="C5" s="97"/>
      <c r="D5" s="674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6747"/>
      <c r="F5" s="6747"/>
      <c r="G5" s="6747"/>
      <c r="H5" s="6747"/>
      <c r="I5" s="462"/>
    </row>
    <row r="6" spans="1:18" ht="15" customHeight="1">
      <c r="C6" s="97"/>
      <c r="D6" s="6694" t="str">
        <f>IF(org=0,"Не определено",org)</f>
        <v>ООО "Марикоммунэнерго"</v>
      </c>
      <c r="E6" s="6694"/>
      <c r="F6" s="6694"/>
      <c r="G6" s="6694"/>
      <c r="H6" s="6694"/>
      <c r="I6" s="462"/>
    </row>
    <row r="7" spans="1:18" s="1820" customFormat="1" ht="15" customHeight="1">
      <c r="A7" s="676"/>
      <c r="C7" s="97"/>
      <c r="D7" s="597"/>
      <c r="E7" s="597"/>
      <c r="F7" s="597"/>
      <c r="G7" s="597"/>
      <c r="H7" s="669"/>
      <c r="I7" s="462"/>
      <c r="R7" s="596"/>
    </row>
    <row r="8" spans="1:18" ht="0.75" customHeight="1">
      <c r="C8" s="97"/>
      <c r="D8" s="435"/>
      <c r="E8" s="435"/>
      <c r="F8" s="435"/>
      <c r="G8" s="435"/>
      <c r="H8" s="462" t="s">
        <v>183</v>
      </c>
    </row>
    <row r="9" spans="1:18" ht="15" customHeight="1">
      <c r="C9" s="97"/>
      <c r="D9" s="630"/>
      <c r="E9" s="6838" t="s">
        <v>174</v>
      </c>
      <c r="F9" s="6839"/>
      <c r="G9" s="733" t="str">
        <f>IF(G8="","",INDEX(DIFFERENTIATION_UNMERGE_VD,MATCH(G8,DIFFERENTIATION_ID_DIFF,0)))</f>
        <v/>
      </c>
      <c r="H9" s="733">
        <f>IF(H8="","",INDEX(DIFFERENTIATION_UNMERGE_VD,MATCH(H8,DIFFERENTIATION_ID_DIFF,0)))</f>
        <v>0</v>
      </c>
      <c r="I9" s="6629" t="s">
        <v>419</v>
      </c>
    </row>
    <row r="10" spans="1:18" s="1820" customFormat="1" ht="15" customHeight="1">
      <c r="A10" s="676"/>
      <c r="C10" s="97"/>
      <c r="D10" s="630"/>
      <c r="E10" s="6838" t="s">
        <v>681</v>
      </c>
      <c r="F10" s="6839"/>
      <c r="G10" s="733" t="str">
        <f>IF(G8="","",INDEX(DIFFERENTIATION_UNMERGE_AREA,MATCH(G8,DIFFERENTIATION_ID_DIFF,0)))</f>
        <v/>
      </c>
      <c r="H10" s="733" t="str">
        <f>IF(H8="","",INDEX(DIFFERENTIATION_UNMERGE_AREA,MATCH(H8,DIFFERENTIATION_ID_DIFF,0)))</f>
        <v/>
      </c>
      <c r="I10" s="6629"/>
      <c r="R10" s="596"/>
    </row>
    <row r="11" spans="1:18" s="1820" customFormat="1" ht="15" customHeight="1">
      <c r="A11" s="676"/>
      <c r="C11" s="97"/>
      <c r="D11" s="630"/>
      <c r="E11" s="6838" t="s">
        <v>682</v>
      </c>
      <c r="F11" s="6839"/>
      <c r="G11" s="733" t="str">
        <f>IF(G8="","",INDEX(DIFFERENTIATION_UNMERGE_SYSTEM,MATCH(G8,DIFFERENTIATION_ID_DIFF,0)))</f>
        <v/>
      </c>
      <c r="H11" s="733" t="str">
        <f>IF(H8="","",INDEX(DIFFERENTIATION_UNMERGE_SYSTEM,MATCH(H8,DIFFERENTIATION_ID_DIFF,0)))</f>
        <v>без дифференциации</v>
      </c>
      <c r="I11" s="6629"/>
      <c r="R11" s="596"/>
    </row>
    <row r="12" spans="1:18" s="1820" customFormat="1" ht="15" customHeight="1">
      <c r="A12" s="676"/>
      <c r="C12" s="97"/>
      <c r="D12" s="6840" t="s">
        <v>418</v>
      </c>
      <c r="E12" s="6841"/>
      <c r="F12" s="6841"/>
      <c r="G12" s="800"/>
      <c r="H12" s="800"/>
      <c r="I12" s="6629"/>
      <c r="R12" s="596"/>
    </row>
    <row r="13" spans="1:18" ht="33.75" customHeight="1">
      <c r="C13" s="97"/>
      <c r="D13" s="678" t="s">
        <v>87</v>
      </c>
      <c r="E13" s="677" t="s">
        <v>420</v>
      </c>
      <c r="F13" s="677" t="s">
        <v>683</v>
      </c>
      <c r="G13" s="725" t="s">
        <v>421</v>
      </c>
      <c r="H13" s="671" t="s">
        <v>421</v>
      </c>
      <c r="I13" s="6629"/>
    </row>
    <row r="14" spans="1:18" ht="15" hidden="1" customHeight="1">
      <c r="C14" s="97"/>
      <c r="D14" s="516" t="s">
        <v>178</v>
      </c>
      <c r="E14" s="516" t="s">
        <v>98</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1146</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1146</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1146</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424</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1147</v>
      </c>
      <c r="E20" s="608"/>
      <c r="F20" s="435"/>
      <c r="G20" s="435"/>
      <c r="H20" s="435"/>
      <c r="I20" s="1671"/>
    </row>
    <row r="21" spans="1:18" ht="27.75" customHeight="1">
      <c r="C21" s="382"/>
      <c r="D21" s="464" t="s">
        <v>433</v>
      </c>
      <c r="E21" s="591"/>
      <c r="F21" s="1669" t="str">
        <f>IF(TEMPLATE_SPHERE="HEAT","Гкал/час","тыс. куб. м/сутки")</f>
        <v>Гкал/час</v>
      </c>
      <c r="G21" s="601"/>
      <c r="H21" s="601"/>
      <c r="I21" s="667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1148</v>
      </c>
      <c r="F22" s="497"/>
      <c r="G22" s="497"/>
      <c r="H22" s="497"/>
      <c r="I22" s="6678"/>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6532" hidden="1" customWidth="1"/>
    <col min="2" max="2" width="9.140625" style="6530" hidden="1" customWidth="1"/>
    <col min="3" max="3" width="3.7109375" style="6533" customWidth="1"/>
    <col min="4" max="4" width="6.28515625" style="1834" customWidth="1"/>
    <col min="5" max="6" width="64.140625" style="1834" customWidth="1"/>
    <col min="7" max="7" width="141.140625" style="1834" customWidth="1"/>
    <col min="8" max="8" width="10.5703125" style="1834"/>
    <col min="9" max="10" width="10.5703125" style="1823"/>
    <col min="11" max="16" width="10.5703125" style="1834"/>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666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6663"/>
      <c r="F5" s="6663"/>
      <c r="G5" s="6664"/>
    </row>
    <row r="6" spans="1:16" s="1820" customFormat="1" ht="18" customHeight="1">
      <c r="A6" s="795"/>
      <c r="B6" s="351"/>
      <c r="C6" s="305"/>
      <c r="D6" s="6728" t="str">
        <f>IF(org=0,"Не определено",org)</f>
        <v>ООО "Марикоммунэнерго"</v>
      </c>
      <c r="E6" s="6729"/>
      <c r="F6" s="6729"/>
      <c r="G6" s="6730"/>
      <c r="I6" s="426"/>
      <c r="J6" s="426"/>
    </row>
    <row r="7" spans="1:16" ht="14.25" customHeight="1">
      <c r="C7" s="30"/>
      <c r="D7" s="18"/>
      <c r="E7" s="29"/>
      <c r="F7" s="669"/>
      <c r="G7" s="114"/>
    </row>
    <row r="8" spans="1:16" s="2045" customFormat="1" ht="0.75" customHeight="1">
      <c r="A8" s="1579"/>
      <c r="B8" s="1060"/>
      <c r="C8" s="305"/>
      <c r="D8" s="290"/>
      <c r="E8" s="323"/>
      <c r="F8" s="669"/>
      <c r="G8" s="114"/>
      <c r="I8" s="1535"/>
      <c r="J8" s="1535"/>
    </row>
    <row r="9" spans="1:16" ht="14.25" customHeight="1">
      <c r="C9" s="30"/>
      <c r="D9" s="6723" t="s">
        <v>418</v>
      </c>
      <c r="E9" s="6723"/>
      <c r="F9" s="6723"/>
      <c r="G9" s="6907" t="s">
        <v>419</v>
      </c>
    </row>
    <row r="10" spans="1:16" ht="14.25" customHeight="1">
      <c r="C10" s="30"/>
      <c r="D10" s="36" t="s">
        <v>87</v>
      </c>
      <c r="E10" s="39" t="s">
        <v>420</v>
      </c>
      <c r="F10" s="39" t="s">
        <v>510</v>
      </c>
      <c r="G10" s="690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424</v>
      </c>
      <c r="G12" s="75"/>
    </row>
    <row r="13" spans="1:16" ht="22.5" customHeight="1">
      <c r="A13" s="113"/>
      <c r="C13" s="30"/>
      <c r="D13" s="71" t="s">
        <v>1053</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424</v>
      </c>
      <c r="G13" s="75"/>
    </row>
    <row r="14" spans="1:16" ht="14.25" customHeight="1">
      <c r="A14" s="113"/>
      <c r="C14" s="30"/>
      <c r="D14" s="71" t="s">
        <v>1089</v>
      </c>
      <c r="E14" s="116"/>
      <c r="F14" s="134"/>
      <c r="G14" s="66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1149</v>
      </c>
      <c r="F15" s="122"/>
      <c r="G15" s="6678"/>
    </row>
    <row r="16" spans="1:16" ht="14.25" customHeight="1">
      <c r="A16" s="113"/>
      <c r="C16" s="30"/>
      <c r="D16" s="71" t="s">
        <v>1055</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424</v>
      </c>
      <c r="G16" s="264"/>
    </row>
    <row r="17" spans="1:16" ht="14.25" customHeight="1">
      <c r="A17" s="113"/>
      <c r="C17" s="30"/>
      <c r="D17" s="71" t="s">
        <v>1097</v>
      </c>
      <c r="E17" s="116"/>
      <c r="F17" s="319"/>
      <c r="G17" s="66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6529" customFormat="1" ht="21" customHeight="1">
      <c r="A18" s="269"/>
      <c r="B18" s="70"/>
      <c r="C18" s="227"/>
      <c r="D18" s="273"/>
      <c r="E18" s="274" t="s">
        <v>1150</v>
      </c>
      <c r="F18" s="265"/>
      <c r="G18" s="6678"/>
      <c r="I18" s="275"/>
      <c r="J18" s="275"/>
    </row>
    <row r="19" spans="1:16" s="1820" customFormat="1" ht="256.5" hidden="1" customHeight="1">
      <c r="A19" s="269"/>
      <c r="B19" s="351"/>
      <c r="C19" s="305"/>
      <c r="D19" s="797" t="s">
        <v>1057</v>
      </c>
      <c r="E19" s="796" t="s">
        <v>1151</v>
      </c>
      <c r="F19" s="319"/>
      <c r="G19" s="264" t="s">
        <v>1152</v>
      </c>
      <c r="I19" s="426"/>
      <c r="J19" s="426"/>
    </row>
    <row r="20" spans="1:16" s="6529" customFormat="1" ht="14.25" customHeight="1">
      <c r="A20" s="269"/>
      <c r="B20" s="70"/>
      <c r="C20" s="227"/>
      <c r="D20" s="798">
        <v>2</v>
      </c>
      <c r="E20" s="257" t="s">
        <v>1153</v>
      </c>
      <c r="F20" s="119" t="s">
        <v>424</v>
      </c>
      <c r="G20" s="264"/>
      <c r="I20" s="275"/>
      <c r="J20" s="275"/>
    </row>
    <row r="21" spans="1:16" s="6529" customFormat="1" ht="18.75" hidden="1" customHeight="1">
      <c r="A21" s="269"/>
      <c r="B21" s="70"/>
      <c r="C21" s="227"/>
      <c r="D21" s="260" t="s">
        <v>983</v>
      </c>
      <c r="E21" s="259"/>
      <c r="F21" s="258"/>
      <c r="G21" s="268"/>
      <c r="H21" s="261"/>
      <c r="I21" s="275"/>
      <c r="J21" s="275"/>
    </row>
    <row r="22" spans="1:16" ht="15" customHeight="1">
      <c r="A22" s="113"/>
      <c r="C22" s="30"/>
      <c r="D22" s="40"/>
      <c r="E22" s="124" t="s">
        <v>1154</v>
      </c>
      <c r="F22" s="265"/>
      <c r="G22" s="266"/>
    </row>
    <row r="23" spans="1:16" s="2045" customFormat="1" ht="22.5" hidden="1" customHeight="1">
      <c r="A23" s="269"/>
      <c r="B23" s="1060"/>
      <c r="C23" s="305"/>
      <c r="D23" s="1583" t="s">
        <v>98</v>
      </c>
      <c r="E23" s="118" t="s">
        <v>1155</v>
      </c>
      <c r="F23" s="1580" t="s">
        <v>424</v>
      </c>
      <c r="G23" s="271"/>
      <c r="I23" s="1535"/>
      <c r="J23" s="1535"/>
    </row>
    <row r="24" spans="1:16" s="2045" customFormat="1" ht="14.25" hidden="1" customHeight="1">
      <c r="A24" s="269"/>
      <c r="B24" s="1060"/>
      <c r="C24" s="305"/>
      <c r="D24" s="1583" t="s">
        <v>739</v>
      </c>
      <c r="E24" s="1582" t="s">
        <v>1156</v>
      </c>
      <c r="F24" s="1580" t="s">
        <v>424</v>
      </c>
      <c r="G24" s="264"/>
      <c r="I24" s="1535"/>
      <c r="J24" s="1535"/>
    </row>
    <row r="25" spans="1:16" s="2045" customFormat="1" ht="14.25" hidden="1" customHeight="1">
      <c r="A25" s="269"/>
      <c r="B25" s="1060"/>
      <c r="C25" s="305"/>
      <c r="D25" s="1583" t="s">
        <v>742</v>
      </c>
      <c r="E25" s="116"/>
      <c r="F25" s="319"/>
      <c r="G25" s="6676" t="s">
        <v>1157</v>
      </c>
      <c r="I25" s="1535"/>
      <c r="J25" s="1535"/>
    </row>
    <row r="26" spans="1:16" s="2045" customFormat="1" ht="22.5" hidden="1" customHeight="1">
      <c r="A26" s="269"/>
      <c r="B26" s="1060"/>
      <c r="C26" s="305"/>
      <c r="D26" s="273"/>
      <c r="E26" s="274" t="s">
        <v>1158</v>
      </c>
      <c r="F26" s="265"/>
      <c r="G26" s="6678"/>
      <c r="I26" s="1535"/>
      <c r="J26" s="1535"/>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abSelected="1" topLeftCell="C13" zoomScale="90" workbookViewId="0">
      <selection activeCell="I26" sqref="I26:I27"/>
    </sheetView>
  </sheetViews>
  <sheetFormatPr defaultColWidth="10.5703125" defaultRowHeight="14.25" customHeight="1"/>
  <cols>
    <col min="1" max="1" width="9.140625" style="2069" hidden="1" customWidth="1"/>
    <col min="2" max="2" width="9.140625" style="6530" hidden="1" customWidth="1"/>
    <col min="3" max="3" width="3.7109375" style="6533" customWidth="1"/>
    <col min="4" max="4" width="6.28515625" style="1834" customWidth="1"/>
    <col min="5" max="5" width="63.42578125" style="1834" customWidth="1"/>
    <col min="6" max="6" width="1.7109375" style="1834" hidden="1" customWidth="1"/>
    <col min="7" max="8" width="35.7109375" style="1834" customWidth="1"/>
    <col min="9" max="9" width="91.5703125" style="1834" customWidth="1"/>
    <col min="10" max="10" width="68.85546875" style="1834" customWidth="1"/>
    <col min="11" max="12" width="10.5703125" style="1823"/>
  </cols>
  <sheetData>
    <row r="1" spans="1:12" ht="14.25" hidden="1" customHeight="1"/>
    <row r="2" spans="1:12" s="2045" customFormat="1" ht="18.75" hidden="1" customHeight="1">
      <c r="A2" s="1593"/>
      <c r="B2" s="1060"/>
      <c r="C2" s="1639" t="s">
        <v>102</v>
      </c>
      <c r="D2" s="1583"/>
      <c r="E2" s="120"/>
      <c r="F2" s="1580"/>
      <c r="G2" s="1580" t="s">
        <v>424</v>
      </c>
      <c r="H2" s="1061"/>
      <c r="K2" s="1535"/>
      <c r="L2" s="1535"/>
    </row>
    <row r="3" spans="1:12" s="2045" customFormat="1" ht="14.25" hidden="1" customHeight="1">
      <c r="A3" s="1278"/>
      <c r="B3" s="1060"/>
      <c r="C3" s="270"/>
      <c r="K3" s="1535"/>
      <c r="L3" s="1535"/>
    </row>
    <row r="4" spans="1:12" s="2045" customFormat="1" ht="18.75" hidden="1" customHeight="1">
      <c r="A4" s="1593"/>
      <c r="B4" s="1060"/>
      <c r="C4" s="1639" t="s">
        <v>102</v>
      </c>
      <c r="D4" s="1583"/>
      <c r="E4" s="126" t="s">
        <v>1159</v>
      </c>
      <c r="F4" s="1580"/>
      <c r="G4" s="176"/>
      <c r="H4" s="1580" t="s">
        <v>424</v>
      </c>
      <c r="K4" s="1535"/>
      <c r="L4" s="1535"/>
    </row>
    <row r="5" spans="1:12" s="2045" customFormat="1" ht="14.25" hidden="1" customHeight="1">
      <c r="A5" s="1278"/>
      <c r="B5" s="1060"/>
      <c r="C5" s="270"/>
      <c r="K5" s="1535"/>
      <c r="L5" s="1535"/>
    </row>
    <row r="6" spans="1:12" s="2045" customFormat="1" ht="18.75" hidden="1" customHeight="1">
      <c r="A6" s="1593"/>
      <c r="B6" s="1060"/>
      <c r="C6" s="1639" t="s">
        <v>102</v>
      </c>
      <c r="D6" s="1583"/>
      <c r="E6" s="127" t="s">
        <v>1160</v>
      </c>
      <c r="F6" s="1580"/>
      <c r="G6" s="176"/>
      <c r="H6" s="1580" t="s">
        <v>424</v>
      </c>
      <c r="K6" s="1535"/>
      <c r="L6" s="1535"/>
    </row>
    <row r="7" spans="1:12" s="2045" customFormat="1" ht="14.25" hidden="1" customHeight="1">
      <c r="A7" s="1278"/>
      <c r="B7" s="1060"/>
      <c r="C7" s="270"/>
      <c r="K7" s="1535"/>
      <c r="L7" s="1535"/>
    </row>
    <row r="8" spans="1:12" s="2045" customFormat="1" ht="18.75" hidden="1" customHeight="1">
      <c r="A8" s="1593"/>
      <c r="B8" s="1060"/>
      <c r="C8" s="1639" t="s">
        <v>102</v>
      </c>
      <c r="D8" s="1583"/>
      <c r="E8" s="127" t="s">
        <v>1161</v>
      </c>
      <c r="F8" s="1580"/>
      <c r="G8" s="176"/>
      <c r="H8" s="1580" t="s">
        <v>424</v>
      </c>
      <c r="K8" s="1535"/>
      <c r="L8" s="1535"/>
    </row>
    <row r="9" spans="1:12" s="2045" customFormat="1" ht="14.25" hidden="1" customHeight="1">
      <c r="A9" s="1278"/>
      <c r="B9" s="1060"/>
      <c r="C9" s="270"/>
      <c r="K9" s="1535"/>
      <c r="L9" s="1535"/>
    </row>
    <row r="10" spans="1:12" s="2045" customFormat="1" ht="18.75" hidden="1" customHeight="1">
      <c r="A10" s="1593"/>
      <c r="B10" s="1060"/>
      <c r="C10" s="1639" t="s">
        <v>102</v>
      </c>
      <c r="D10" s="1583"/>
      <c r="E10" s="127" t="s">
        <v>1162</v>
      </c>
      <c r="F10" s="1580"/>
      <c r="G10" s="1584"/>
      <c r="H10" s="1580" t="s">
        <v>424</v>
      </c>
      <c r="K10" s="1535"/>
      <c r="L10" s="1535" t="s">
        <v>1163</v>
      </c>
    </row>
    <row r="11" spans="1:12" ht="14.25" hidden="1" customHeight="1"/>
    <row r="12" spans="1:12" ht="14.25" hidden="1" customHeight="1"/>
    <row r="13" spans="1:12" ht="14.25" customHeight="1">
      <c r="C13" s="30"/>
      <c r="D13" s="18"/>
      <c r="E13" s="18"/>
      <c r="F13" s="18"/>
      <c r="G13" s="18"/>
      <c r="H13" s="19"/>
      <c r="I13" s="19"/>
    </row>
    <row r="14" spans="1:12" ht="27.75" customHeight="1">
      <c r="C14" s="30"/>
      <c r="D14" s="666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6663"/>
      <c r="F14" s="6663"/>
      <c r="G14" s="6663"/>
      <c r="H14" s="6664"/>
      <c r="J14" s="1542"/>
    </row>
    <row r="15" spans="1:12" s="2045" customFormat="1" ht="14.25" customHeight="1">
      <c r="A15" s="1278"/>
      <c r="B15" s="1060"/>
      <c r="C15" s="305"/>
      <c r="D15" s="6728" t="str">
        <f>IF(org=0,"Не определено",org)</f>
        <v>ООО "Марикоммунэнерго"</v>
      </c>
      <c r="E15" s="6729"/>
      <c r="F15" s="6729"/>
      <c r="G15" s="6729"/>
      <c r="H15" s="6730"/>
      <c r="J15" s="765"/>
      <c r="K15" s="1535"/>
      <c r="L15" s="1535"/>
    </row>
    <row r="16" spans="1:12" ht="14.25" customHeight="1">
      <c r="C16" s="30"/>
      <c r="D16" s="18"/>
      <c r="E16" s="29"/>
      <c r="F16" s="29"/>
      <c r="G16" s="29"/>
      <c r="H16" s="669"/>
      <c r="I16" s="114"/>
    </row>
    <row r="17" spans="1:12" s="2045" customFormat="1" ht="14.25" hidden="1" customHeight="1">
      <c r="A17" s="1278"/>
      <c r="B17" s="1060"/>
      <c r="C17" s="305"/>
      <c r="D17" s="290"/>
      <c r="E17" s="323"/>
      <c r="F17" s="323"/>
      <c r="G17" s="323"/>
      <c r="H17" s="669"/>
      <c r="I17" s="114"/>
      <c r="K17" s="1535"/>
      <c r="L17" s="1535"/>
    </row>
    <row r="18" spans="1:12" ht="21" customHeight="1">
      <c r="C18" s="30"/>
      <c r="D18" s="6723" t="s">
        <v>418</v>
      </c>
      <c r="E18" s="6723"/>
      <c r="F18" s="6723"/>
      <c r="G18" s="6723"/>
      <c r="H18" s="6723"/>
      <c r="I18" s="6907" t="s">
        <v>419</v>
      </c>
    </row>
    <row r="19" spans="1:12" ht="21" customHeight="1">
      <c r="C19" s="30"/>
      <c r="D19" s="36" t="s">
        <v>87</v>
      </c>
      <c r="E19" s="39" t="s">
        <v>420</v>
      </c>
      <c r="F19" s="39"/>
      <c r="G19" s="39" t="s">
        <v>421</v>
      </c>
      <c r="H19" s="39" t="s">
        <v>510</v>
      </c>
      <c r="I19" s="6907"/>
    </row>
    <row r="20" spans="1:12" ht="12" hidden="1" customHeight="1">
      <c r="C20" s="30"/>
      <c r="D20" s="21"/>
      <c r="E20" s="21"/>
      <c r="F20" s="21"/>
      <c r="G20" s="21"/>
      <c r="H20" s="21"/>
      <c r="I20" s="21"/>
    </row>
    <row r="21" spans="1:12" ht="14.25" customHeight="1">
      <c r="A21" s="1593"/>
      <c r="C21" s="30"/>
      <c r="D21" s="71">
        <v>1</v>
      </c>
      <c r="E21" s="6908" t="s">
        <v>1164</v>
      </c>
      <c r="F21" s="6908"/>
      <c r="G21" s="6908"/>
      <c r="H21" s="6908"/>
      <c r="I21" s="129"/>
    </row>
    <row r="22" spans="1:12" ht="20.25" customHeight="1">
      <c r="A22" s="1593"/>
      <c r="C22" s="30"/>
      <c r="D22" s="71" t="s">
        <v>1053</v>
      </c>
      <c r="E22" s="115" t="s">
        <v>1165</v>
      </c>
      <c r="F22" s="119"/>
      <c r="G22" s="6534">
        <v>45300</v>
      </c>
      <c r="H22" s="119" t="s">
        <v>424</v>
      </c>
      <c r="I22" s="75" t="s">
        <v>1166</v>
      </c>
    </row>
    <row r="23" spans="1:12" ht="45" customHeight="1">
      <c r="A23" s="1593"/>
      <c r="C23" s="30"/>
      <c r="D23" s="71" t="s">
        <v>1055</v>
      </c>
      <c r="E23" s="115" t="s">
        <v>1167</v>
      </c>
      <c r="F23" s="119"/>
      <c r="G23" s="6535" t="s">
        <v>1168</v>
      </c>
      <c r="H23" s="6536" t="s">
        <v>1169</v>
      </c>
      <c r="I23" s="177" t="s">
        <v>1170</v>
      </c>
    </row>
    <row r="24" spans="1:12" ht="39.200000000000003" customHeight="1">
      <c r="A24" s="1593"/>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424</v>
      </c>
      <c r="H24" s="6536" t="s">
        <v>1169</v>
      </c>
      <c r="I24" s="178" t="s">
        <v>920</v>
      </c>
    </row>
    <row r="25" spans="1:12" ht="46.5" customHeight="1">
      <c r="A25" s="1593"/>
      <c r="C25" s="30"/>
      <c r="D25" s="71">
        <v>3</v>
      </c>
      <c r="E25" s="690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6908"/>
      <c r="G25" s="6908"/>
      <c r="H25" s="6908"/>
      <c r="I25" s="175"/>
    </row>
    <row r="26" spans="1:12" ht="121.7" customHeight="1">
      <c r="A26" s="1593"/>
      <c r="C26" s="30"/>
      <c r="D26" s="71" t="s">
        <v>444</v>
      </c>
      <c r="E26" s="120" t="s">
        <v>1171</v>
      </c>
      <c r="F26" s="119"/>
      <c r="G26" s="119" t="s">
        <v>424</v>
      </c>
      <c r="H26" s="6536" t="s">
        <v>1169</v>
      </c>
      <c r="I26" s="6676" t="s">
        <v>1172</v>
      </c>
    </row>
    <row r="27" spans="1:12" ht="15" customHeight="1">
      <c r="A27" s="1593" t="s">
        <v>178</v>
      </c>
      <c r="C27" s="30"/>
      <c r="D27" s="40"/>
      <c r="E27" s="124" t="s">
        <v>1154</v>
      </c>
      <c r="F27" s="125"/>
      <c r="G27" s="125"/>
      <c r="H27" s="122"/>
      <c r="I27" s="6678"/>
    </row>
    <row r="28" spans="1:12" ht="38.25" customHeight="1">
      <c r="A28" s="1593"/>
      <c r="B28" s="70">
        <v>3</v>
      </c>
      <c r="C28" s="30"/>
      <c r="D28" s="71">
        <v>4</v>
      </c>
      <c r="E28" s="690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6908"/>
      <c r="G28" s="6908"/>
      <c r="H28" s="6908"/>
      <c r="I28" s="175"/>
    </row>
    <row r="29" spans="1:12" ht="90" customHeight="1">
      <c r="A29" s="1593"/>
      <c r="C29" s="30"/>
      <c r="D29" s="71" t="s">
        <v>784</v>
      </c>
      <c r="E29" s="126" t="s">
        <v>1159</v>
      </c>
      <c r="F29" s="119"/>
      <c r="G29" s="176" t="s">
        <v>1173</v>
      </c>
      <c r="H29" s="119" t="s">
        <v>424</v>
      </c>
      <c r="I29" s="6676" t="s">
        <v>1174</v>
      </c>
    </row>
    <row r="30" spans="1:12" ht="15" customHeight="1">
      <c r="A30" s="1593" t="s">
        <v>98</v>
      </c>
      <c r="C30" s="30"/>
      <c r="D30" s="40"/>
      <c r="E30" s="124" t="s">
        <v>1154</v>
      </c>
      <c r="F30" s="125"/>
      <c r="G30" s="125"/>
      <c r="H30" s="122"/>
      <c r="I30" s="6678"/>
    </row>
    <row r="31" spans="1:12" ht="30" customHeight="1">
      <c r="A31" s="1593"/>
      <c r="B31" s="70">
        <v>3</v>
      </c>
      <c r="C31" s="30"/>
      <c r="D31" s="71">
        <v>5</v>
      </c>
      <c r="E31" s="690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6908"/>
      <c r="G31" s="6908"/>
      <c r="H31" s="6908"/>
      <c r="I31" s="175"/>
    </row>
    <row r="32" spans="1:12" ht="26.25" customHeight="1">
      <c r="A32" s="1593"/>
      <c r="C32" s="30"/>
      <c r="D32" s="71" t="s">
        <v>433</v>
      </c>
      <c r="E32" s="686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6864"/>
      <c r="G32" s="6864"/>
      <c r="H32" s="6864"/>
      <c r="I32" s="175"/>
    </row>
    <row r="33" spans="1:12" ht="14.25" customHeight="1">
      <c r="A33" s="1593"/>
      <c r="C33" s="30"/>
      <c r="D33" s="71" t="s">
        <v>1175</v>
      </c>
      <c r="E33" s="127" t="s">
        <v>1160</v>
      </c>
      <c r="F33" s="119"/>
      <c r="G33" s="176" t="s">
        <v>1176</v>
      </c>
      <c r="H33" s="119" t="s">
        <v>424</v>
      </c>
      <c r="I33" s="6676" t="s">
        <v>1177</v>
      </c>
    </row>
    <row r="34" spans="1:12" ht="15" customHeight="1">
      <c r="A34" s="1593" t="s">
        <v>89</v>
      </c>
      <c r="C34" s="30"/>
      <c r="D34" s="40"/>
      <c r="E34" s="125" t="s">
        <v>1154</v>
      </c>
      <c r="F34" s="121"/>
      <c r="G34" s="121"/>
      <c r="H34" s="122"/>
      <c r="I34" s="6678"/>
    </row>
    <row r="35" spans="1:12" ht="24" customHeight="1">
      <c r="A35" s="1593"/>
      <c r="C35" s="30"/>
      <c r="D35" s="71" t="s">
        <v>435</v>
      </c>
      <c r="E35" s="686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6864"/>
      <c r="G35" s="6864"/>
      <c r="H35" s="6864"/>
      <c r="I35" s="175"/>
    </row>
    <row r="36" spans="1:12" ht="30" customHeight="1">
      <c r="A36" s="1593"/>
      <c r="C36" s="30"/>
      <c r="D36" s="71" t="s">
        <v>1178</v>
      </c>
      <c r="E36" s="127" t="s">
        <v>1161</v>
      </c>
      <c r="F36" s="119"/>
      <c r="G36" s="176" t="s">
        <v>70</v>
      </c>
      <c r="H36" s="119" t="s">
        <v>424</v>
      </c>
      <c r="I36" s="6645" t="s">
        <v>1179</v>
      </c>
    </row>
    <row r="37" spans="1:12" ht="15" customHeight="1">
      <c r="A37" s="1593" t="s">
        <v>90</v>
      </c>
      <c r="C37" s="30"/>
      <c r="D37" s="40"/>
      <c r="E37" s="125" t="s">
        <v>1154</v>
      </c>
      <c r="F37" s="121"/>
      <c r="G37" s="121"/>
      <c r="H37" s="122"/>
      <c r="I37" s="6645"/>
    </row>
    <row r="38" spans="1:12" ht="26.25" customHeight="1">
      <c r="A38" s="1593"/>
      <c r="C38" s="30"/>
      <c r="D38" s="71" t="s">
        <v>438</v>
      </c>
      <c r="E38" s="686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6864"/>
      <c r="G38" s="6864"/>
      <c r="H38" s="6864"/>
      <c r="I38" s="175"/>
    </row>
    <row r="39" spans="1:12" ht="14.25" customHeight="1">
      <c r="A39" s="1593"/>
      <c r="C39" s="30"/>
      <c r="D39" s="71" t="s">
        <v>913</v>
      </c>
      <c r="E39" s="127" t="s">
        <v>1162</v>
      </c>
      <c r="F39" s="119"/>
      <c r="G39" s="128" t="s">
        <v>1180</v>
      </c>
      <c r="H39" s="119" t="s">
        <v>424</v>
      </c>
      <c r="I39" s="6676" t="s">
        <v>1181</v>
      </c>
      <c r="L39" s="77" t="s">
        <v>1163</v>
      </c>
    </row>
    <row r="40" spans="1:12" ht="15" customHeight="1">
      <c r="A40" s="1593" t="s">
        <v>115</v>
      </c>
      <c r="C40" s="30"/>
      <c r="D40" s="40"/>
      <c r="E40" s="125" t="s">
        <v>1154</v>
      </c>
      <c r="F40" s="121"/>
      <c r="G40" s="121"/>
      <c r="H40" s="122"/>
      <c r="I40" s="6678"/>
    </row>
    <row r="41" spans="1:12" s="6537" customFormat="1" ht="3" customHeight="1">
      <c r="A41" s="1593"/>
      <c r="K41" s="117"/>
      <c r="L41" s="117"/>
    </row>
    <row r="42" spans="1:12" ht="24.75" customHeight="1">
      <c r="D42" s="1591" t="s">
        <v>835</v>
      </c>
      <c r="E42" s="67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6783"/>
      <c r="G42" s="6783"/>
      <c r="H42" s="6783"/>
      <c r="I42" s="6783"/>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6538" hidden="1" customWidth="1"/>
    <col min="3" max="3" width="9.140625" style="6506" hidden="1" customWidth="1"/>
    <col min="4" max="4" width="3.7109375" style="2075" customWidth="1"/>
    <col min="5" max="5" width="6.28515625" style="6539" customWidth="1"/>
    <col min="6" max="6" width="46.7109375" style="6539" customWidth="1"/>
    <col min="7" max="7" width="35.7109375" style="6539" customWidth="1"/>
    <col min="8" max="8" width="3.7109375" style="6539" customWidth="1"/>
    <col min="9" max="10" width="11.7109375" style="6539" customWidth="1"/>
    <col min="11" max="12" width="35.7109375" style="6539" customWidth="1"/>
    <col min="13" max="13" width="84.85546875" style="6539" customWidth="1"/>
    <col min="14" max="14" width="10.5703125" style="6539"/>
    <col min="15" max="16" width="10.5703125" style="6531"/>
    <col min="17" max="33" width="10.5703125" style="6539"/>
  </cols>
  <sheetData>
    <row r="1" spans="1:33" s="2045" customFormat="1" ht="14.25" hidden="1" customHeight="1">
      <c r="A1" s="1688"/>
      <c r="B1" s="1688"/>
      <c r="C1" s="297"/>
      <c r="D1" s="270"/>
      <c r="N1" s="1547">
        <f>IFERROR(MATCH("метод экономически обоснованных расходов (затрат)",OFFER_METHOD,0),0)</f>
        <v>0</v>
      </c>
      <c r="O1" s="1535"/>
      <c r="P1" s="1535"/>
      <c r="T1" s="748"/>
      <c r="AG1" s="174"/>
    </row>
    <row r="2" spans="1:33" s="2045" customFormat="1" ht="18.75" hidden="1" customHeight="1">
      <c r="A2" s="1689" t="s">
        <v>215</v>
      </c>
      <c r="B2" s="1689" t="s">
        <v>216</v>
      </c>
      <c r="C2" s="297"/>
      <c r="D2" s="270"/>
      <c r="E2" s="938"/>
      <c r="F2" s="938"/>
      <c r="G2" s="6881" t="str">
        <f>INDEX(PT_DIFFERENTIATION_NTAR,MATCH(B2,PT_DIFFERENTIATION_NTAR_ID,0))</f>
        <v/>
      </c>
      <c r="H2" s="1773"/>
      <c r="I2" s="1647"/>
      <c r="J2" s="1682"/>
      <c r="K2" s="1774"/>
      <c r="L2" s="1773" t="s">
        <v>424</v>
      </c>
      <c r="M2" s="1783"/>
      <c r="N2" s="261"/>
      <c r="O2" s="1535"/>
      <c r="P2" s="1535"/>
    </row>
    <row r="3" spans="1:33" s="2045" customFormat="1" ht="18.75" hidden="1" customHeight="1">
      <c r="A3" s="1689"/>
      <c r="B3" s="1689"/>
      <c r="C3" s="297" t="s">
        <v>1182</v>
      </c>
      <c r="D3" s="270"/>
      <c r="E3" s="938"/>
      <c r="F3" s="938"/>
      <c r="G3" s="6881"/>
      <c r="H3" s="1409"/>
      <c r="I3" s="572" t="s">
        <v>1183</v>
      </c>
      <c r="J3" s="496"/>
      <c r="K3" s="1409"/>
      <c r="L3" s="135"/>
      <c r="M3" s="1783"/>
      <c r="N3" s="261"/>
      <c r="O3" s="1535"/>
      <c r="P3" s="1535"/>
    </row>
    <row r="4" spans="1:33" s="2045" customFormat="1" ht="14.25" hidden="1" customHeight="1">
      <c r="A4" s="1688"/>
      <c r="B4" s="1688"/>
      <c r="C4" s="297"/>
      <c r="D4" s="270"/>
      <c r="N4" s="1547">
        <f>IFERROR(MATCH("метод экономически обоснованных расходов (затрат)",OFFER_METHOD,0),0)</f>
        <v>0</v>
      </c>
      <c r="O4" s="1535"/>
      <c r="P4" s="1535"/>
      <c r="T4" s="748"/>
      <c r="AG4" s="174"/>
    </row>
    <row r="5" spans="1:33" s="2045" customFormat="1" ht="18.75" hidden="1" customHeight="1">
      <c r="A5" s="1689" t="s">
        <v>215</v>
      </c>
      <c r="B5" s="1689" t="s">
        <v>216</v>
      </c>
      <c r="C5" s="297"/>
      <c r="D5" s="270"/>
      <c r="E5" s="938"/>
      <c r="F5" s="938"/>
      <c r="G5" s="6881" t="str">
        <f>INDEX(PT_DIFFERENTIATION_NTAR,MATCH(B5,PT_DIFFERENTIATION_NTAR_ID,0))</f>
        <v/>
      </c>
      <c r="H5" s="1773"/>
      <c r="I5" s="1647"/>
      <c r="J5" s="1682"/>
      <c r="K5" s="1687"/>
      <c r="L5" s="1773" t="s">
        <v>424</v>
      </c>
      <c r="M5" s="1783"/>
      <c r="N5" s="261"/>
      <c r="O5" s="1535"/>
      <c r="P5" s="1535"/>
    </row>
    <row r="6" spans="1:33" s="2045" customFormat="1" ht="18.75" hidden="1" customHeight="1">
      <c r="A6" s="1689"/>
      <c r="B6" s="1689"/>
      <c r="C6" s="297" t="s">
        <v>1184</v>
      </c>
      <c r="D6" s="270"/>
      <c r="E6" s="938"/>
      <c r="F6" s="938"/>
      <c r="G6" s="6881"/>
      <c r="H6" s="1409"/>
      <c r="I6" s="572" t="s">
        <v>1183</v>
      </c>
      <c r="J6" s="496"/>
      <c r="K6" s="1409"/>
      <c r="L6" s="135"/>
      <c r="M6" s="1783"/>
      <c r="N6" s="261"/>
      <c r="O6" s="1535"/>
      <c r="P6" s="1535"/>
    </row>
    <row r="7" spans="1:33" s="2045" customFormat="1" ht="14.25" hidden="1" customHeight="1">
      <c r="A7" s="1688"/>
      <c r="B7" s="1688"/>
      <c r="C7" s="297"/>
      <c r="D7" s="270"/>
      <c r="N7" s="1547">
        <f>IFERROR(MATCH("метод экономически обоснованных расходов (затрат)",OFFER_METHOD,0),0)</f>
        <v>0</v>
      </c>
      <c r="O7" s="1535"/>
      <c r="P7" s="1535"/>
      <c r="T7" s="748"/>
      <c r="AG7" s="174"/>
    </row>
    <row r="8" spans="1:33" s="2045" customFormat="1" ht="56.25" hidden="1" customHeight="1">
      <c r="A8" s="1689"/>
      <c r="B8" s="1689"/>
      <c r="C8" s="297"/>
      <c r="D8" s="270"/>
      <c r="E8" s="938"/>
      <c r="F8" s="938"/>
      <c r="G8" s="938"/>
      <c r="H8" s="1680"/>
      <c r="I8" s="1647"/>
      <c r="J8" s="1682"/>
      <c r="K8" s="1774"/>
      <c r="L8" s="1680" t="s">
        <v>424</v>
      </c>
      <c r="M8" s="1783"/>
      <c r="N8" s="261"/>
      <c r="O8" s="1535"/>
      <c r="P8" s="1535"/>
    </row>
    <row r="9" spans="1:33" ht="14.25" hidden="1" customHeight="1">
      <c r="T9" s="331"/>
      <c r="AG9" s="174"/>
    </row>
    <row r="10" spans="1:33" s="2045" customFormat="1" ht="56.25" hidden="1" customHeight="1">
      <c r="A10" s="1689"/>
      <c r="B10" s="1689"/>
      <c r="C10" s="297"/>
      <c r="D10" s="270"/>
      <c r="E10" s="938"/>
      <c r="F10" s="938"/>
      <c r="G10" s="938"/>
      <c r="H10" s="1679"/>
      <c r="I10" s="1647"/>
      <c r="J10" s="1682"/>
      <c r="K10" s="1687"/>
      <c r="L10" s="1680" t="s">
        <v>424</v>
      </c>
      <c r="M10" s="1783"/>
      <c r="N10" s="261"/>
      <c r="O10" s="1535"/>
      <c r="P10" s="1535"/>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69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6912"/>
      <c r="G14" s="6912"/>
      <c r="H14" s="6912"/>
      <c r="I14" s="6912"/>
      <c r="J14" s="6912"/>
      <c r="K14" s="6912"/>
      <c r="L14" s="6912"/>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6765">
        <f>IF(TITLE_DATE_PR_CHANGE="",IF(TITLE_DATE_PR="","",TITLE_DATE_PR),TITLE_DATE_PR_CHANGE)</f>
        <v>45280.426180555558</v>
      </c>
      <c r="H16" s="6765"/>
      <c r="I16" s="6765"/>
      <c r="J16" s="6765"/>
      <c r="K16" s="6765"/>
      <c r="L16" s="6765"/>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6756" t="str">
        <f>IF(TITLE_NUMBER_PR_CHANGE="",IF(TITLE_NUMBER_PR="","",TITLE_NUMBER_PR),TITLE_NUMBER_PR_CHANGE)</f>
        <v>124 т, 125 т, 126 т, 169 т</v>
      </c>
      <c r="H17" s="6756"/>
      <c r="I17" s="6756"/>
      <c r="J17" s="6756"/>
      <c r="K17" s="6756"/>
      <c r="L17" s="6756"/>
      <c r="M17" s="332"/>
      <c r="N17" s="253"/>
    </row>
    <row r="18" spans="1:16" ht="14.25" customHeight="1">
      <c r="D18" s="305"/>
      <c r="E18" s="290"/>
      <c r="F18" s="323"/>
      <c r="G18" s="323"/>
      <c r="H18" s="323"/>
      <c r="I18" s="323"/>
      <c r="J18" s="323"/>
      <c r="K18" s="323"/>
      <c r="L18" s="669"/>
      <c r="M18" s="114"/>
    </row>
    <row r="19" spans="1:16" ht="21" customHeight="1">
      <c r="D19" s="305"/>
      <c r="E19" s="6723" t="s">
        <v>418</v>
      </c>
      <c r="F19" s="6723"/>
      <c r="G19" s="6723"/>
      <c r="H19" s="6723"/>
      <c r="I19" s="6723"/>
      <c r="J19" s="6723"/>
      <c r="K19" s="6723"/>
      <c r="L19" s="6723"/>
      <c r="M19" s="6907" t="s">
        <v>419</v>
      </c>
    </row>
    <row r="20" spans="1:16" ht="21" customHeight="1">
      <c r="D20" s="305"/>
      <c r="E20" s="6775" t="s">
        <v>87</v>
      </c>
      <c r="F20" s="6736" t="s">
        <v>188</v>
      </c>
      <c r="G20" s="6736" t="s">
        <v>189</v>
      </c>
      <c r="H20" s="6886" t="s">
        <v>1185</v>
      </c>
      <c r="I20" s="6887"/>
      <c r="J20" s="6888"/>
      <c r="K20" s="6736" t="s">
        <v>421</v>
      </c>
      <c r="L20" s="6736" t="s">
        <v>510</v>
      </c>
      <c r="M20" s="6907"/>
    </row>
    <row r="21" spans="1:16" ht="21" customHeight="1">
      <c r="D21" s="305"/>
      <c r="E21" s="6777"/>
      <c r="F21" s="6737"/>
      <c r="G21" s="6737"/>
      <c r="H21" s="6731" t="s">
        <v>1186</v>
      </c>
      <c r="I21" s="6733"/>
      <c r="J21" s="39" t="s">
        <v>1187</v>
      </c>
      <c r="K21" s="6737"/>
      <c r="L21" s="6737"/>
      <c r="M21" s="6907"/>
    </row>
    <row r="22" spans="1:16" ht="12" customHeight="1">
      <c r="D22" s="305"/>
      <c r="E22" s="201"/>
      <c r="F22" s="201"/>
      <c r="G22" s="201"/>
      <c r="H22" s="6914"/>
      <c r="I22" s="6914"/>
      <c r="J22" s="201"/>
      <c r="K22" s="201"/>
      <c r="L22" s="201"/>
      <c r="M22" s="201"/>
    </row>
    <row r="23" spans="1:16" ht="18.75" customHeight="1">
      <c r="A23" s="1689"/>
      <c r="B23" s="1689"/>
      <c r="D23" s="305"/>
      <c r="E23" s="1775" t="s">
        <v>178</v>
      </c>
      <c r="F23" s="6915" t="str">
        <f>"Предлагаемый метод регулирования"&amp;IF(TEMPLATE_SPHERE="HEAT"," в сфере "&amp;TEMPLATE_SPHERE_RUS,"")</f>
        <v>Предлагаемый метод регулирования в сфере теплоснабжения</v>
      </c>
      <c r="G23" s="6915"/>
      <c r="H23" s="6908"/>
      <c r="I23" s="6908"/>
      <c r="J23" s="6908"/>
      <c r="K23" s="6915" t="s">
        <v>424</v>
      </c>
      <c r="L23" s="6908"/>
      <c r="M23" s="1678"/>
      <c r="N23" s="261"/>
    </row>
    <row r="24" spans="1:16" ht="60.75" hidden="1" customHeight="1">
      <c r="A24" s="1689" t="s">
        <v>215</v>
      </c>
      <c r="B24" s="1689" t="s">
        <v>216</v>
      </c>
      <c r="D24" s="6913"/>
      <c r="E24" s="6717"/>
      <c r="F24" s="69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6881" t="str">
        <f>INDEX(PT_DIFFERENTIATION_NTAR,MATCH(B24,PT_DIFFERENTIATION_NTAR_ID,0))</f>
        <v/>
      </c>
      <c r="H24" s="1771"/>
      <c r="I24" s="1647"/>
      <c r="J24" s="1682"/>
      <c r="K24" s="1774"/>
      <c r="L24" s="1677" t="s">
        <v>424</v>
      </c>
      <c r="M24" s="66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2045" customFormat="1" ht="18.75" hidden="1" customHeight="1">
      <c r="A25" s="1689"/>
      <c r="B25" s="1689"/>
      <c r="C25" s="297" t="s">
        <v>1182</v>
      </c>
      <c r="D25" s="6913"/>
      <c r="E25" s="6717"/>
      <c r="F25" s="6916"/>
      <c r="G25" s="6881"/>
      <c r="H25" s="1409"/>
      <c r="I25" s="572" t="s">
        <v>1183</v>
      </c>
      <c r="J25" s="496"/>
      <c r="K25" s="1409"/>
      <c r="L25" s="135"/>
      <c r="M25" s="6677"/>
      <c r="N25" s="261"/>
      <c r="O25" s="1535"/>
      <c r="P25" s="1535"/>
    </row>
    <row r="26" spans="1:16" ht="0.75" hidden="1" customHeight="1">
      <c r="A26" s="1689"/>
      <c r="B26" s="1689"/>
      <c r="C26" s="297" t="s">
        <v>1188</v>
      </c>
      <c r="D26" s="6913"/>
      <c r="E26" s="6717"/>
      <c r="F26" s="6852"/>
      <c r="G26" s="334"/>
      <c r="H26" s="1409"/>
      <c r="I26" s="329"/>
      <c r="J26" s="274"/>
      <c r="K26" s="1409"/>
      <c r="L26" s="122"/>
      <c r="M26" s="6677"/>
      <c r="N26" s="261"/>
    </row>
    <row r="27" spans="1:16" s="2045" customFormat="1" ht="45" hidden="1" customHeight="1">
      <c r="A27" s="1689" t="s">
        <v>223</v>
      </c>
      <c r="B27" s="1689" t="s">
        <v>224</v>
      </c>
      <c r="C27" s="297"/>
      <c r="D27" s="6909"/>
      <c r="E27" s="6910"/>
      <c r="F27" s="691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6881" t="str">
        <f>INDEX(PT_DIFFERENTIATION_NTAR,MATCH(B27,PT_DIFFERENTIATION_NTAR_ID,0))</f>
        <v>Тариф на тепловую энергию (мощность), поставляемую потребителям</v>
      </c>
      <c r="H27" s="1771"/>
      <c r="I27" s="1647"/>
      <c r="J27" s="1682"/>
      <c r="K27" s="1774"/>
      <c r="L27" s="1771" t="s">
        <v>424</v>
      </c>
      <c r="M27" s="6677"/>
      <c r="N27" s="261"/>
      <c r="O27" s="1535"/>
      <c r="P27" s="1535"/>
    </row>
    <row r="28" spans="1:16" s="2045" customFormat="1" ht="18.75" hidden="1" customHeight="1">
      <c r="A28" s="1689"/>
      <c r="B28" s="1689"/>
      <c r="C28" s="297" t="s">
        <v>1182</v>
      </c>
      <c r="D28" s="6909"/>
      <c r="E28" s="6910"/>
      <c r="F28" s="6911"/>
      <c r="G28" s="6881"/>
      <c r="H28" s="1409"/>
      <c r="I28" s="572" t="s">
        <v>1183</v>
      </c>
      <c r="J28" s="496"/>
      <c r="K28" s="1409"/>
      <c r="L28" s="135"/>
      <c r="M28" s="6677"/>
      <c r="N28" s="261"/>
      <c r="O28" s="1535"/>
      <c r="P28" s="1535"/>
    </row>
    <row r="29" spans="1:16" s="2045" customFormat="1" ht="0.75" hidden="1" customHeight="1">
      <c r="A29" s="1689"/>
      <c r="B29" s="1689"/>
      <c r="C29" s="297" t="s">
        <v>1188</v>
      </c>
      <c r="D29" s="6909"/>
      <c r="E29" s="6717"/>
      <c r="F29" s="6852"/>
      <c r="G29" s="334"/>
      <c r="H29" s="1409"/>
      <c r="I29" s="572"/>
      <c r="J29" s="496"/>
      <c r="K29" s="1409"/>
      <c r="L29" s="135"/>
      <c r="M29" s="6677"/>
      <c r="N29" s="261"/>
      <c r="O29" s="1535"/>
      <c r="P29" s="1535"/>
    </row>
    <row r="30" spans="1:16" s="2045" customFormat="1" ht="45" hidden="1" customHeight="1">
      <c r="A30" s="1689" t="s">
        <v>277</v>
      </c>
      <c r="B30" s="1689" t="s">
        <v>278</v>
      </c>
      <c r="C30" s="297"/>
      <c r="D30" s="6909"/>
      <c r="E30" s="6717"/>
      <c r="F30" s="685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6881" t="str">
        <f>INDEX(PT_DIFFERENTIATION_NTAR,MATCH(B30,PT_DIFFERENTIATION_NTAR_ID,0))</f>
        <v>Тариф на теплоноситель, поставляемый потребителям</v>
      </c>
      <c r="H30" s="1771"/>
      <c r="I30" s="1647"/>
      <c r="J30" s="1682"/>
      <c r="K30" s="1774"/>
      <c r="L30" s="1771" t="s">
        <v>424</v>
      </c>
      <c r="M30" s="6677"/>
      <c r="N30" s="261"/>
      <c r="O30" s="1535"/>
      <c r="P30" s="1535"/>
    </row>
    <row r="31" spans="1:16" s="2045" customFormat="1" ht="18.75" hidden="1" customHeight="1">
      <c r="A31" s="1689"/>
      <c r="B31" s="1689"/>
      <c r="C31" s="297" t="s">
        <v>1182</v>
      </c>
      <c r="D31" s="6909"/>
      <c r="E31" s="6717"/>
      <c r="F31" s="6852"/>
      <c r="G31" s="6881"/>
      <c r="H31" s="1409"/>
      <c r="I31" s="572" t="s">
        <v>1183</v>
      </c>
      <c r="J31" s="496"/>
      <c r="K31" s="1409"/>
      <c r="L31" s="135"/>
      <c r="M31" s="6677"/>
      <c r="N31" s="261"/>
      <c r="O31" s="1535"/>
      <c r="P31" s="1535"/>
    </row>
    <row r="32" spans="1:16" s="2045" customFormat="1" ht="0.75" hidden="1" customHeight="1">
      <c r="A32" s="1689"/>
      <c r="B32" s="1689"/>
      <c r="C32" s="297" t="s">
        <v>1188</v>
      </c>
      <c r="D32" s="6909"/>
      <c r="E32" s="6717"/>
      <c r="F32" s="6852"/>
      <c r="G32" s="334"/>
      <c r="H32" s="1409"/>
      <c r="I32" s="572"/>
      <c r="J32" s="496"/>
      <c r="K32" s="1409"/>
      <c r="L32" s="135"/>
      <c r="M32" s="6677"/>
      <c r="N32" s="261"/>
      <c r="O32" s="1535"/>
      <c r="P32" s="1535"/>
    </row>
    <row r="33" spans="1:16" s="2045" customFormat="1" ht="45" hidden="1" customHeight="1">
      <c r="A33" s="1689" t="s">
        <v>294</v>
      </c>
      <c r="B33" s="1689" t="s">
        <v>295</v>
      </c>
      <c r="C33" s="297"/>
      <c r="D33" s="6909"/>
      <c r="E33" s="6717"/>
      <c r="F33" s="685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6881" t="str">
        <f>INDEX(PT_DIFFERENTIATION_NTAR,MATCH(B33,PT_DIFFERENTIATION_NTAR_ID,0))</f>
        <v>Тариф на горячую воду, поставляемую потребителям в открытой системе теплоснабжения (горячее водоснабжение)</v>
      </c>
      <c r="H33" s="1771"/>
      <c r="I33" s="1647"/>
      <c r="J33" s="1682"/>
      <c r="K33" s="1774"/>
      <c r="L33" s="1771" t="s">
        <v>424</v>
      </c>
      <c r="M33" s="6677"/>
      <c r="N33" s="261"/>
      <c r="O33" s="1535"/>
      <c r="P33" s="1535"/>
    </row>
    <row r="34" spans="1:16" s="2045" customFormat="1" ht="18.75" hidden="1" customHeight="1">
      <c r="A34" s="1689"/>
      <c r="B34" s="1689"/>
      <c r="C34" s="297" t="s">
        <v>1182</v>
      </c>
      <c r="D34" s="6909"/>
      <c r="E34" s="6717"/>
      <c r="F34" s="6852"/>
      <c r="G34" s="6881"/>
      <c r="H34" s="1409"/>
      <c r="I34" s="572" t="s">
        <v>1183</v>
      </c>
      <c r="J34" s="496"/>
      <c r="K34" s="1409"/>
      <c r="L34" s="135"/>
      <c r="M34" s="6677"/>
      <c r="N34" s="261"/>
      <c r="O34" s="1535"/>
      <c r="P34" s="1535"/>
    </row>
    <row r="35" spans="1:16" s="2045" customFormat="1" ht="0.75" hidden="1" customHeight="1">
      <c r="A35" s="1689"/>
      <c r="B35" s="1689"/>
      <c r="C35" s="297" t="s">
        <v>1188</v>
      </c>
      <c r="D35" s="6909"/>
      <c r="E35" s="6717"/>
      <c r="F35" s="6852"/>
      <c r="G35" s="334"/>
      <c r="H35" s="1409"/>
      <c r="I35" s="572"/>
      <c r="J35" s="496"/>
      <c r="K35" s="1409"/>
      <c r="L35" s="135"/>
      <c r="M35" s="6677"/>
      <c r="N35" s="261"/>
      <c r="O35" s="1535"/>
      <c r="P35" s="1535"/>
    </row>
    <row r="36" spans="1:16" s="2045" customFormat="1" ht="18.75" hidden="1" customHeight="1">
      <c r="A36" s="1689" t="s">
        <v>309</v>
      </c>
      <c r="B36" s="1689" t="s">
        <v>310</v>
      </c>
      <c r="C36" s="297"/>
      <c r="D36" s="6909"/>
      <c r="E36" s="6717"/>
      <c r="F36" s="6852" t="str">
        <f>INDEX(PT_DIFFERENTIATION_VTAR,MATCH(A36,PT_DIFFERENTIATION_VTAR_ID,0))</f>
        <v>Тарифы на услуги по передаче тепловой энергии</v>
      </c>
      <c r="G36" s="6881" t="str">
        <f>INDEX(PT_DIFFERENTIATION_NTAR,MATCH(B36,PT_DIFFERENTIATION_NTAR_ID,0))</f>
        <v/>
      </c>
      <c r="H36" s="1771"/>
      <c r="I36" s="1647"/>
      <c r="J36" s="1682"/>
      <c r="K36" s="1774"/>
      <c r="L36" s="1771" t="s">
        <v>424</v>
      </c>
      <c r="M36" s="6677"/>
      <c r="N36" s="261"/>
      <c r="O36" s="1535"/>
      <c r="P36" s="1535"/>
    </row>
    <row r="37" spans="1:16" s="2045" customFormat="1" ht="18.75" hidden="1" customHeight="1">
      <c r="A37" s="1689"/>
      <c r="B37" s="1689"/>
      <c r="C37" s="297" t="s">
        <v>1182</v>
      </c>
      <c r="D37" s="6909"/>
      <c r="E37" s="6717"/>
      <c r="F37" s="6852"/>
      <c r="G37" s="6881"/>
      <c r="H37" s="1409"/>
      <c r="I37" s="572" t="s">
        <v>1183</v>
      </c>
      <c r="J37" s="496"/>
      <c r="K37" s="1409"/>
      <c r="L37" s="135"/>
      <c r="M37" s="6677"/>
      <c r="N37" s="261"/>
      <c r="O37" s="1535"/>
      <c r="P37" s="1535"/>
    </row>
    <row r="38" spans="1:16" s="2045" customFormat="1" ht="0.75" hidden="1" customHeight="1">
      <c r="A38" s="1689"/>
      <c r="B38" s="1689"/>
      <c r="C38" s="297" t="s">
        <v>1188</v>
      </c>
      <c r="D38" s="6909"/>
      <c r="E38" s="6717"/>
      <c r="F38" s="6852"/>
      <c r="G38" s="334"/>
      <c r="H38" s="1409"/>
      <c r="I38" s="572"/>
      <c r="J38" s="496"/>
      <c r="K38" s="1409"/>
      <c r="L38" s="135"/>
      <c r="M38" s="6677"/>
      <c r="N38" s="261"/>
      <c r="O38" s="1535"/>
      <c r="P38" s="1535"/>
    </row>
    <row r="39" spans="1:16" s="2045" customFormat="1" ht="18.75" hidden="1" customHeight="1">
      <c r="A39" s="1689" t="s">
        <v>315</v>
      </c>
      <c r="B39" s="1689" t="s">
        <v>316</v>
      </c>
      <c r="C39" s="297"/>
      <c r="D39" s="6909"/>
      <c r="E39" s="6717"/>
      <c r="F39" s="6852" t="str">
        <f>INDEX(PT_DIFFERENTIATION_VTAR,MATCH(A39,PT_DIFFERENTIATION_VTAR_ID,0))</f>
        <v>Тарифы на услуги по передаче теплоносителя</v>
      </c>
      <c r="G39" s="6881" t="str">
        <f>INDEX(PT_DIFFERENTIATION_NTAR,MATCH(B39,PT_DIFFERENTIATION_NTAR_ID,0))</f>
        <v/>
      </c>
      <c r="H39" s="1771"/>
      <c r="I39" s="1647"/>
      <c r="J39" s="1682"/>
      <c r="K39" s="1774"/>
      <c r="L39" s="1771" t="s">
        <v>424</v>
      </c>
      <c r="M39" s="6677"/>
      <c r="N39" s="261"/>
      <c r="O39" s="1535"/>
      <c r="P39" s="1535"/>
    </row>
    <row r="40" spans="1:16" s="2045" customFormat="1" ht="18.75" hidden="1" customHeight="1">
      <c r="A40" s="1689"/>
      <c r="B40" s="1689"/>
      <c r="C40" s="297" t="s">
        <v>1182</v>
      </c>
      <c r="D40" s="6909"/>
      <c r="E40" s="6717"/>
      <c r="F40" s="6852"/>
      <c r="G40" s="6881"/>
      <c r="H40" s="1409"/>
      <c r="I40" s="572" t="s">
        <v>1183</v>
      </c>
      <c r="J40" s="496"/>
      <c r="K40" s="1409"/>
      <c r="L40" s="135"/>
      <c r="M40" s="6677"/>
      <c r="N40" s="261"/>
      <c r="O40" s="1535"/>
      <c r="P40" s="1535"/>
    </row>
    <row r="41" spans="1:16" s="2045" customFormat="1" ht="0.75" hidden="1" customHeight="1">
      <c r="A41" s="1689"/>
      <c r="B41" s="1689"/>
      <c r="C41" s="297" t="s">
        <v>1188</v>
      </c>
      <c r="D41" s="6909"/>
      <c r="E41" s="6717"/>
      <c r="F41" s="6852"/>
      <c r="G41" s="334"/>
      <c r="H41" s="1409"/>
      <c r="I41" s="572"/>
      <c r="J41" s="496"/>
      <c r="K41" s="1409"/>
      <c r="L41" s="135"/>
      <c r="M41" s="6677"/>
      <c r="N41" s="261"/>
      <c r="O41" s="1535"/>
      <c r="P41" s="1535"/>
    </row>
    <row r="42" spans="1:16" s="2045" customFormat="1" ht="18.75" hidden="1" customHeight="1">
      <c r="A42" s="1689" t="s">
        <v>321</v>
      </c>
      <c r="B42" s="1689" t="s">
        <v>322</v>
      </c>
      <c r="C42" s="297"/>
      <c r="D42" s="6909"/>
      <c r="E42" s="6717"/>
      <c r="F42" s="6852" t="str">
        <f>INDEX(PT_DIFFERENTIATION_VTAR,MATCH(A42,PT_DIFFERENTIATION_VTAR_ID,0))</f>
        <v>Плата за услуги по поддержанию резервной тепловой мощности при отсутствии потребления тепловой энергии</v>
      </c>
      <c r="G42" s="6881" t="str">
        <f>INDEX(PT_DIFFERENTIATION_NTAR,MATCH(B42,PT_DIFFERENTIATION_NTAR_ID,0))</f>
        <v/>
      </c>
      <c r="H42" s="1771"/>
      <c r="I42" s="1647"/>
      <c r="J42" s="1682"/>
      <c r="K42" s="1774"/>
      <c r="L42" s="1771" t="s">
        <v>424</v>
      </c>
      <c r="M42" s="6677"/>
      <c r="N42" s="261"/>
      <c r="O42" s="1535"/>
      <c r="P42" s="1535"/>
    </row>
    <row r="43" spans="1:16" s="2045" customFormat="1" ht="18.75" hidden="1" customHeight="1">
      <c r="A43" s="1689"/>
      <c r="B43" s="1689"/>
      <c r="C43" s="297" t="s">
        <v>1182</v>
      </c>
      <c r="D43" s="6909"/>
      <c r="E43" s="6717"/>
      <c r="F43" s="6852"/>
      <c r="G43" s="6881"/>
      <c r="H43" s="1409"/>
      <c r="I43" s="572" t="s">
        <v>1183</v>
      </c>
      <c r="J43" s="496"/>
      <c r="K43" s="1409"/>
      <c r="L43" s="135"/>
      <c r="M43" s="6677"/>
      <c r="N43" s="261"/>
      <c r="O43" s="1535"/>
      <c r="P43" s="1535"/>
    </row>
    <row r="44" spans="1:16" s="2045" customFormat="1" ht="0.75" hidden="1" customHeight="1">
      <c r="A44" s="1689"/>
      <c r="B44" s="1689"/>
      <c r="C44" s="297" t="s">
        <v>1188</v>
      </c>
      <c r="D44" s="6909"/>
      <c r="E44" s="6717"/>
      <c r="F44" s="6852"/>
      <c r="G44" s="334"/>
      <c r="H44" s="1409"/>
      <c r="I44" s="572"/>
      <c r="J44" s="496"/>
      <c r="K44" s="1409"/>
      <c r="L44" s="135"/>
      <c r="M44" s="6677"/>
      <c r="N44" s="261"/>
      <c r="O44" s="1535"/>
      <c r="P44" s="1535"/>
    </row>
    <row r="45" spans="1:16" s="2045" customFormat="1" ht="18.75" hidden="1" customHeight="1">
      <c r="A45" s="1689" t="s">
        <v>329</v>
      </c>
      <c r="B45" s="1689" t="s">
        <v>330</v>
      </c>
      <c r="C45" s="297"/>
      <c r="D45" s="6909"/>
      <c r="E45" s="6717"/>
      <c r="F45" s="6852" t="str">
        <f>INDEX(PT_DIFFERENTIATION_VTAR,MATCH(A45,PT_DIFFERENTIATION_VTAR_ID,0))</f>
        <v>Плата за подключение (технологическое присоединение) к системе теплоснабжения</v>
      </c>
      <c r="G45" s="6881" t="str">
        <f>INDEX(PT_DIFFERENTIATION_NTAR,MATCH(B45,PT_DIFFERENTIATION_NTAR_ID,0))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H45" s="1771"/>
      <c r="I45" s="1647"/>
      <c r="J45" s="1682"/>
      <c r="K45" s="1774"/>
      <c r="L45" s="1771" t="s">
        <v>424</v>
      </c>
      <c r="M45" s="6677"/>
      <c r="N45" s="261"/>
      <c r="O45" s="1535"/>
      <c r="P45" s="1535"/>
    </row>
    <row r="46" spans="1:16" s="2045" customFormat="1" ht="18.75" hidden="1" customHeight="1">
      <c r="A46" s="1689"/>
      <c r="B46" s="1689"/>
      <c r="C46" s="297" t="s">
        <v>1182</v>
      </c>
      <c r="D46" s="6909"/>
      <c r="E46" s="6717"/>
      <c r="F46" s="6852"/>
      <c r="G46" s="6881"/>
      <c r="H46" s="1409"/>
      <c r="I46" s="572" t="s">
        <v>1183</v>
      </c>
      <c r="J46" s="496"/>
      <c r="K46" s="1409"/>
      <c r="L46" s="135"/>
      <c r="M46" s="6677"/>
      <c r="N46" s="261"/>
      <c r="O46" s="1535"/>
      <c r="P46" s="1535"/>
    </row>
    <row r="47" spans="1:16" s="2045" customFormat="1" ht="0.75" hidden="1" customHeight="1">
      <c r="A47" s="1689"/>
      <c r="B47" s="1689"/>
      <c r="C47" s="297" t="s">
        <v>1188</v>
      </c>
      <c r="D47" s="6909"/>
      <c r="E47" s="6717"/>
      <c r="F47" s="6852"/>
      <c r="G47" s="334"/>
      <c r="H47" s="1409"/>
      <c r="I47" s="572"/>
      <c r="J47" s="496"/>
      <c r="K47" s="1409"/>
      <c r="L47" s="135"/>
      <c r="M47" s="6677"/>
      <c r="N47" s="261"/>
      <c r="O47" s="1535"/>
      <c r="P47" s="1535"/>
    </row>
    <row r="48" spans="1:16" s="2045" customFormat="1" ht="18.75" hidden="1" customHeight="1">
      <c r="A48" s="1689" t="s">
        <v>343</v>
      </c>
      <c r="B48" s="1689" t="s">
        <v>344</v>
      </c>
      <c r="C48" s="297"/>
      <c r="D48" s="6909"/>
      <c r="E48" s="6717"/>
      <c r="F48" s="6852" t="str">
        <f>INDEX(PT_DIFFERENTIATION_VTAR,MATCH(A48,PT_DIFFERENTIATION_VTAR_ID,0))</f>
        <v>Тариф на питьевую воду (питьевое водоснабжение)</v>
      </c>
      <c r="G48" s="6881" t="str">
        <f>INDEX(PT_DIFFERENTIATION_NTAR,MATCH(B48,PT_DIFFERENTIATION_NTAR_ID,0))</f>
        <v/>
      </c>
      <c r="H48" s="1771"/>
      <c r="I48" s="1647"/>
      <c r="J48" s="1682"/>
      <c r="K48" s="1774"/>
      <c r="L48" s="1771" t="s">
        <v>424</v>
      </c>
      <c r="M48" s="6677"/>
      <c r="N48" s="261"/>
      <c r="O48" s="1535"/>
      <c r="P48" s="1535"/>
    </row>
    <row r="49" spans="1:16" s="2045" customFormat="1" ht="18.75" hidden="1" customHeight="1">
      <c r="A49" s="1689"/>
      <c r="B49" s="1689"/>
      <c r="C49" s="297" t="s">
        <v>1182</v>
      </c>
      <c r="D49" s="6909"/>
      <c r="E49" s="6717"/>
      <c r="F49" s="6852"/>
      <c r="G49" s="6881"/>
      <c r="H49" s="1409"/>
      <c r="I49" s="572" t="s">
        <v>1183</v>
      </c>
      <c r="J49" s="496"/>
      <c r="K49" s="1409"/>
      <c r="L49" s="135"/>
      <c r="M49" s="6677"/>
      <c r="N49" s="261"/>
      <c r="O49" s="1535"/>
      <c r="P49" s="1535"/>
    </row>
    <row r="50" spans="1:16" s="2045" customFormat="1" ht="0.75" hidden="1" customHeight="1">
      <c r="A50" s="1689"/>
      <c r="B50" s="1689"/>
      <c r="C50" s="297" t="s">
        <v>1188</v>
      </c>
      <c r="D50" s="6909"/>
      <c r="E50" s="6717"/>
      <c r="F50" s="6852"/>
      <c r="G50" s="334"/>
      <c r="H50" s="1409"/>
      <c r="I50" s="572"/>
      <c r="J50" s="496"/>
      <c r="K50" s="1409"/>
      <c r="L50" s="135"/>
      <c r="M50" s="6677"/>
      <c r="N50" s="261"/>
      <c r="O50" s="1535"/>
      <c r="P50" s="1535"/>
    </row>
    <row r="51" spans="1:16" s="2045" customFormat="1" ht="18.75" hidden="1" customHeight="1">
      <c r="A51" s="1689" t="s">
        <v>348</v>
      </c>
      <c r="B51" s="1689" t="s">
        <v>349</v>
      </c>
      <c r="C51" s="297"/>
      <c r="D51" s="6909"/>
      <c r="E51" s="6717"/>
      <c r="F51" s="6852" t="str">
        <f>INDEX(PT_DIFFERENTIATION_VTAR,MATCH(A51,PT_DIFFERENTIATION_VTAR_ID,0))</f>
        <v>Тариф на техническую воду</v>
      </c>
      <c r="G51" s="6881" t="str">
        <f>INDEX(PT_DIFFERENTIATION_NTAR,MATCH(B51,PT_DIFFERENTIATION_NTAR_ID,0))</f>
        <v/>
      </c>
      <c r="H51" s="1771"/>
      <c r="I51" s="1647"/>
      <c r="J51" s="1682"/>
      <c r="K51" s="1774"/>
      <c r="L51" s="1771" t="s">
        <v>424</v>
      </c>
      <c r="M51" s="6677"/>
      <c r="N51" s="261"/>
      <c r="O51" s="1535"/>
      <c r="P51" s="1535"/>
    </row>
    <row r="52" spans="1:16" s="2045" customFormat="1" ht="18.75" hidden="1" customHeight="1">
      <c r="A52" s="1689"/>
      <c r="B52" s="1689"/>
      <c r="C52" s="297" t="s">
        <v>1182</v>
      </c>
      <c r="D52" s="6909"/>
      <c r="E52" s="6717"/>
      <c r="F52" s="6852"/>
      <c r="G52" s="6881"/>
      <c r="H52" s="1409"/>
      <c r="I52" s="572" t="s">
        <v>1183</v>
      </c>
      <c r="J52" s="496"/>
      <c r="K52" s="1409"/>
      <c r="L52" s="135"/>
      <c r="M52" s="6677"/>
      <c r="N52" s="261"/>
      <c r="O52" s="1535"/>
      <c r="P52" s="1535"/>
    </row>
    <row r="53" spans="1:16" s="2045" customFormat="1" ht="0.75" hidden="1" customHeight="1">
      <c r="A53" s="1689"/>
      <c r="B53" s="1689"/>
      <c r="C53" s="297" t="s">
        <v>1188</v>
      </c>
      <c r="D53" s="6909"/>
      <c r="E53" s="6717"/>
      <c r="F53" s="6852"/>
      <c r="G53" s="334"/>
      <c r="H53" s="1409"/>
      <c r="I53" s="572"/>
      <c r="J53" s="496"/>
      <c r="K53" s="1409"/>
      <c r="L53" s="135"/>
      <c r="M53" s="6677"/>
      <c r="N53" s="261"/>
      <c r="O53" s="1535"/>
      <c r="P53" s="1535"/>
    </row>
    <row r="54" spans="1:16" s="2045" customFormat="1" ht="18.75" hidden="1" customHeight="1">
      <c r="A54" s="1689" t="s">
        <v>353</v>
      </c>
      <c r="B54" s="1689" t="s">
        <v>354</v>
      </c>
      <c r="C54" s="297"/>
      <c r="D54" s="6909"/>
      <c r="E54" s="6717"/>
      <c r="F54" s="6852" t="str">
        <f>INDEX(PT_DIFFERENTIATION_VTAR,MATCH(A54,PT_DIFFERENTIATION_VTAR_ID,0))</f>
        <v>Тариф на транспортировку воды</v>
      </c>
      <c r="G54" s="6881" t="str">
        <f>INDEX(PT_DIFFERENTIATION_NTAR,MATCH(B54,PT_DIFFERENTIATION_NTAR_ID,0))</f>
        <v/>
      </c>
      <c r="H54" s="1771"/>
      <c r="I54" s="1647"/>
      <c r="J54" s="1682"/>
      <c r="K54" s="1774"/>
      <c r="L54" s="1771" t="s">
        <v>424</v>
      </c>
      <c r="M54" s="6677"/>
      <c r="N54" s="261"/>
      <c r="O54" s="1535"/>
      <c r="P54" s="1535"/>
    </row>
    <row r="55" spans="1:16" s="2045" customFormat="1" ht="18.75" hidden="1" customHeight="1">
      <c r="A55" s="1689"/>
      <c r="B55" s="1689"/>
      <c r="C55" s="297" t="s">
        <v>1182</v>
      </c>
      <c r="D55" s="6909"/>
      <c r="E55" s="6717"/>
      <c r="F55" s="6852"/>
      <c r="G55" s="6881"/>
      <c r="H55" s="1409"/>
      <c r="I55" s="572" t="s">
        <v>1183</v>
      </c>
      <c r="J55" s="496"/>
      <c r="K55" s="1409"/>
      <c r="L55" s="135"/>
      <c r="M55" s="6677"/>
      <c r="N55" s="261"/>
      <c r="O55" s="1535"/>
      <c r="P55" s="1535"/>
    </row>
    <row r="56" spans="1:16" s="2045" customFormat="1" ht="0.75" hidden="1" customHeight="1">
      <c r="A56" s="1689"/>
      <c r="B56" s="1689"/>
      <c r="C56" s="297" t="s">
        <v>1188</v>
      </c>
      <c r="D56" s="6909"/>
      <c r="E56" s="6717"/>
      <c r="F56" s="6852"/>
      <c r="G56" s="334"/>
      <c r="H56" s="1409"/>
      <c r="I56" s="572"/>
      <c r="J56" s="496"/>
      <c r="K56" s="1409"/>
      <c r="L56" s="135"/>
      <c r="M56" s="6677"/>
      <c r="N56" s="261"/>
      <c r="O56" s="1535"/>
      <c r="P56" s="1535"/>
    </row>
    <row r="57" spans="1:16" s="2045" customFormat="1" ht="18.75" hidden="1" customHeight="1">
      <c r="A57" s="1689" t="s">
        <v>358</v>
      </c>
      <c r="B57" s="1689" t="s">
        <v>359</v>
      </c>
      <c r="C57" s="297"/>
      <c r="D57" s="6909"/>
      <c r="E57" s="6717"/>
      <c r="F57" s="6852" t="str">
        <f>INDEX(PT_DIFFERENTIATION_VTAR,MATCH(A57,PT_DIFFERENTIATION_VTAR_ID,0))</f>
        <v>Тариф на подвоз воды</v>
      </c>
      <c r="G57" s="6881" t="str">
        <f>INDEX(PT_DIFFERENTIATION_NTAR,MATCH(B57,PT_DIFFERENTIATION_NTAR_ID,0))</f>
        <v/>
      </c>
      <c r="H57" s="1771"/>
      <c r="I57" s="1647"/>
      <c r="J57" s="1682"/>
      <c r="K57" s="1774"/>
      <c r="L57" s="1771" t="s">
        <v>424</v>
      </c>
      <c r="M57" s="6677"/>
      <c r="N57" s="261"/>
      <c r="O57" s="1535"/>
      <c r="P57" s="1535"/>
    </row>
    <row r="58" spans="1:16" s="2045" customFormat="1" ht="18.75" hidden="1" customHeight="1">
      <c r="A58" s="1689"/>
      <c r="B58" s="1689"/>
      <c r="C58" s="297" t="s">
        <v>1182</v>
      </c>
      <c r="D58" s="6909"/>
      <c r="E58" s="6717"/>
      <c r="F58" s="6852"/>
      <c r="G58" s="6881"/>
      <c r="H58" s="1409"/>
      <c r="I58" s="572" t="s">
        <v>1183</v>
      </c>
      <c r="J58" s="496"/>
      <c r="K58" s="1409"/>
      <c r="L58" s="135"/>
      <c r="M58" s="6677"/>
      <c r="N58" s="261"/>
      <c r="O58" s="1535"/>
      <c r="P58" s="1535"/>
    </row>
    <row r="59" spans="1:16" s="2045" customFormat="1" ht="0.75" hidden="1" customHeight="1">
      <c r="A59" s="1689"/>
      <c r="B59" s="1689"/>
      <c r="C59" s="297" t="s">
        <v>1188</v>
      </c>
      <c r="D59" s="6909"/>
      <c r="E59" s="6717"/>
      <c r="F59" s="6852"/>
      <c r="G59" s="334"/>
      <c r="H59" s="1409"/>
      <c r="I59" s="572"/>
      <c r="J59" s="496"/>
      <c r="K59" s="1409"/>
      <c r="L59" s="135"/>
      <c r="M59" s="6677"/>
      <c r="N59" s="261"/>
      <c r="O59" s="1535"/>
      <c r="P59" s="1535"/>
    </row>
    <row r="60" spans="1:16" s="2045" customFormat="1" ht="18.75" hidden="1" customHeight="1">
      <c r="A60" s="1689" t="s">
        <v>363</v>
      </c>
      <c r="B60" s="1689" t="s">
        <v>364</v>
      </c>
      <c r="C60" s="297"/>
      <c r="D60" s="6909"/>
      <c r="E60" s="6717"/>
      <c r="F60" s="6852" t="str">
        <f>INDEX(PT_DIFFERENTIATION_VTAR,MATCH(A60,PT_DIFFERENTIATION_VTAR_ID,0))</f>
        <v>Тариф на подключение (технологическое присоединение) к централизованной системе холодного водоснабжения</v>
      </c>
      <c r="G60" s="6881" t="str">
        <f>INDEX(PT_DIFFERENTIATION_NTAR,MATCH(B60,PT_DIFFERENTIATION_NTAR_ID,0))</f>
        <v/>
      </c>
      <c r="H60" s="1771"/>
      <c r="I60" s="1647"/>
      <c r="J60" s="1682"/>
      <c r="K60" s="1774"/>
      <c r="L60" s="1771" t="s">
        <v>424</v>
      </c>
      <c r="M60" s="6677"/>
      <c r="N60" s="261"/>
      <c r="O60" s="1535"/>
      <c r="P60" s="1535"/>
    </row>
    <row r="61" spans="1:16" s="2045" customFormat="1" ht="18.75" hidden="1" customHeight="1">
      <c r="A61" s="1689"/>
      <c r="B61" s="1689"/>
      <c r="C61" s="297" t="s">
        <v>1182</v>
      </c>
      <c r="D61" s="6909"/>
      <c r="E61" s="6717"/>
      <c r="F61" s="6852"/>
      <c r="G61" s="6881"/>
      <c r="H61" s="1409"/>
      <c r="I61" s="572" t="s">
        <v>1183</v>
      </c>
      <c r="J61" s="496"/>
      <c r="K61" s="1409"/>
      <c r="L61" s="135"/>
      <c r="M61" s="6677"/>
      <c r="N61" s="261"/>
      <c r="O61" s="1535"/>
      <c r="P61" s="1535"/>
    </row>
    <row r="62" spans="1:16" s="2045" customFormat="1" ht="0.75" hidden="1" customHeight="1">
      <c r="A62" s="1689"/>
      <c r="B62" s="1689"/>
      <c r="C62" s="297" t="s">
        <v>1188</v>
      </c>
      <c r="D62" s="6909"/>
      <c r="E62" s="6717"/>
      <c r="F62" s="6852"/>
      <c r="G62" s="334"/>
      <c r="H62" s="1409"/>
      <c r="I62" s="572"/>
      <c r="J62" s="496"/>
      <c r="K62" s="1409"/>
      <c r="L62" s="135"/>
      <c r="M62" s="6677"/>
      <c r="N62" s="261"/>
      <c r="O62" s="1535"/>
      <c r="P62" s="1535"/>
    </row>
    <row r="63" spans="1:16" s="2045" customFormat="1" ht="18.75" hidden="1" customHeight="1">
      <c r="A63" s="1689" t="s">
        <v>368</v>
      </c>
      <c r="B63" s="1689" t="s">
        <v>369</v>
      </c>
      <c r="C63" s="297"/>
      <c r="D63" s="6909"/>
      <c r="E63" s="6717"/>
      <c r="F63" s="6852" t="str">
        <f>INDEX(PT_DIFFERENTIATION_VTAR,MATCH(A63,PT_DIFFERENTIATION_VTAR_ID,0))</f>
        <v>Тариф на горячую воду (горячее водоснабжение)</v>
      </c>
      <c r="G63" s="6881" t="str">
        <f>INDEX(PT_DIFFERENTIATION_NTAR,MATCH(B63,PT_DIFFERENTIATION_NTAR_ID,0))</f>
        <v/>
      </c>
      <c r="H63" s="1771"/>
      <c r="I63" s="1647"/>
      <c r="J63" s="1682"/>
      <c r="K63" s="1774"/>
      <c r="L63" s="1771" t="s">
        <v>424</v>
      </c>
      <c r="M63" s="6677"/>
      <c r="N63" s="261"/>
      <c r="O63" s="1535"/>
      <c r="P63" s="1535"/>
    </row>
    <row r="64" spans="1:16" s="2045" customFormat="1" ht="18.75" hidden="1" customHeight="1">
      <c r="A64" s="1689"/>
      <c r="B64" s="1689"/>
      <c r="C64" s="297" t="s">
        <v>1182</v>
      </c>
      <c r="D64" s="6909"/>
      <c r="E64" s="6717"/>
      <c r="F64" s="6852"/>
      <c r="G64" s="6881"/>
      <c r="H64" s="1409"/>
      <c r="I64" s="572" t="s">
        <v>1183</v>
      </c>
      <c r="J64" s="496"/>
      <c r="K64" s="1409"/>
      <c r="L64" s="135"/>
      <c r="M64" s="6677"/>
      <c r="N64" s="261"/>
      <c r="O64" s="1535"/>
      <c r="P64" s="1535"/>
    </row>
    <row r="65" spans="1:16" s="2045" customFormat="1" ht="0.75" hidden="1" customHeight="1">
      <c r="A65" s="1689"/>
      <c r="B65" s="1689"/>
      <c r="C65" s="297" t="s">
        <v>1188</v>
      </c>
      <c r="D65" s="6909"/>
      <c r="E65" s="6717"/>
      <c r="F65" s="6852"/>
      <c r="G65" s="334"/>
      <c r="H65" s="1409"/>
      <c r="I65" s="572"/>
      <c r="J65" s="496"/>
      <c r="K65" s="1409"/>
      <c r="L65" s="135"/>
      <c r="M65" s="6677"/>
      <c r="N65" s="261"/>
      <c r="O65" s="1535"/>
      <c r="P65" s="1535"/>
    </row>
    <row r="66" spans="1:16" s="2045" customFormat="1" ht="18.75" hidden="1" customHeight="1">
      <c r="A66" s="1689" t="s">
        <v>373</v>
      </c>
      <c r="B66" s="1689" t="s">
        <v>374</v>
      </c>
      <c r="C66" s="297"/>
      <c r="D66" s="6909"/>
      <c r="E66" s="6717"/>
      <c r="F66" s="6852" t="str">
        <f>INDEX(PT_DIFFERENTIATION_VTAR,MATCH(A66,PT_DIFFERENTIATION_VTAR_ID,0))</f>
        <v>Тариф на транспортировку горячей воды</v>
      </c>
      <c r="G66" s="6881" t="str">
        <f>INDEX(PT_DIFFERENTIATION_NTAR,MATCH(B66,PT_DIFFERENTIATION_NTAR_ID,0))</f>
        <v/>
      </c>
      <c r="H66" s="1771"/>
      <c r="I66" s="1647"/>
      <c r="J66" s="1682"/>
      <c r="K66" s="1774"/>
      <c r="L66" s="1771" t="s">
        <v>424</v>
      </c>
      <c r="M66" s="6677"/>
      <c r="N66" s="261"/>
      <c r="O66" s="1535"/>
      <c r="P66" s="1535"/>
    </row>
    <row r="67" spans="1:16" s="2045" customFormat="1" ht="18.75" hidden="1" customHeight="1">
      <c r="A67" s="1689"/>
      <c r="B67" s="1689"/>
      <c r="C67" s="297" t="s">
        <v>1182</v>
      </c>
      <c r="D67" s="6909"/>
      <c r="E67" s="6717"/>
      <c r="F67" s="6852"/>
      <c r="G67" s="6881"/>
      <c r="H67" s="1409"/>
      <c r="I67" s="572" t="s">
        <v>1183</v>
      </c>
      <c r="J67" s="496"/>
      <c r="K67" s="1409"/>
      <c r="L67" s="135"/>
      <c r="M67" s="6677"/>
      <c r="N67" s="261"/>
      <c r="O67" s="1535"/>
      <c r="P67" s="1535"/>
    </row>
    <row r="68" spans="1:16" s="2045" customFormat="1" ht="0.75" hidden="1" customHeight="1">
      <c r="A68" s="1689"/>
      <c r="B68" s="1689"/>
      <c r="C68" s="297" t="s">
        <v>1188</v>
      </c>
      <c r="D68" s="6909"/>
      <c r="E68" s="6717"/>
      <c r="F68" s="6852"/>
      <c r="G68" s="334"/>
      <c r="H68" s="1409"/>
      <c r="I68" s="572"/>
      <c r="J68" s="496"/>
      <c r="K68" s="1409"/>
      <c r="L68" s="135"/>
      <c r="M68" s="6677"/>
      <c r="N68" s="261"/>
      <c r="O68" s="1535"/>
      <c r="P68" s="1535"/>
    </row>
    <row r="69" spans="1:16" s="2045" customFormat="1" ht="18.75" hidden="1" customHeight="1">
      <c r="A69" s="1689" t="s">
        <v>378</v>
      </c>
      <c r="B69" s="1689" t="s">
        <v>379</v>
      </c>
      <c r="C69" s="297"/>
      <c r="D69" s="6909"/>
      <c r="E69" s="6717"/>
      <c r="F69" s="6852" t="str">
        <f>INDEX(PT_DIFFERENTIATION_VTAR,MATCH(A69,PT_DIFFERENTIATION_VTAR_ID,0))</f>
        <v>Тариф на подключение (технологическое присоединение) к централизованной системе горячего водоснабжения</v>
      </c>
      <c r="G69" s="6881" t="str">
        <f>INDEX(PT_DIFFERENTIATION_NTAR,MATCH(B69,PT_DIFFERENTIATION_NTAR_ID,0))</f>
        <v/>
      </c>
      <c r="H69" s="1771"/>
      <c r="I69" s="1647"/>
      <c r="J69" s="1682"/>
      <c r="K69" s="1774"/>
      <c r="L69" s="1771" t="s">
        <v>424</v>
      </c>
      <c r="M69" s="6677"/>
      <c r="N69" s="261"/>
      <c r="O69" s="1535"/>
      <c r="P69" s="1535"/>
    </row>
    <row r="70" spans="1:16" s="2045" customFormat="1" ht="18.75" hidden="1" customHeight="1">
      <c r="A70" s="1689"/>
      <c r="B70" s="1689"/>
      <c r="C70" s="297" t="s">
        <v>1182</v>
      </c>
      <c r="D70" s="6909"/>
      <c r="E70" s="6717"/>
      <c r="F70" s="6852"/>
      <c r="G70" s="6881"/>
      <c r="H70" s="1409"/>
      <c r="I70" s="572" t="s">
        <v>1183</v>
      </c>
      <c r="J70" s="496"/>
      <c r="K70" s="1409"/>
      <c r="L70" s="135"/>
      <c r="M70" s="6677"/>
      <c r="N70" s="261"/>
      <c r="O70" s="1535"/>
      <c r="P70" s="1535"/>
    </row>
    <row r="71" spans="1:16" s="2045" customFormat="1" ht="0.75" hidden="1" customHeight="1">
      <c r="A71" s="1689"/>
      <c r="B71" s="1689"/>
      <c r="C71" s="297" t="s">
        <v>1188</v>
      </c>
      <c r="D71" s="6909"/>
      <c r="E71" s="6717"/>
      <c r="F71" s="6852"/>
      <c r="G71" s="334"/>
      <c r="H71" s="1409"/>
      <c r="I71" s="572"/>
      <c r="J71" s="496"/>
      <c r="K71" s="1409"/>
      <c r="L71" s="135"/>
      <c r="M71" s="6677"/>
      <c r="N71" s="261"/>
      <c r="O71" s="1535"/>
      <c r="P71" s="1535"/>
    </row>
    <row r="72" spans="1:16" s="2045" customFormat="1" ht="18.75" hidden="1" customHeight="1">
      <c r="A72" s="1689" t="s">
        <v>383</v>
      </c>
      <c r="B72" s="1689" t="s">
        <v>384</v>
      </c>
      <c r="C72" s="297"/>
      <c r="D72" s="6909"/>
      <c r="E72" s="6717"/>
      <c r="F72" s="6852" t="str">
        <f>INDEX(PT_DIFFERENTIATION_VTAR,MATCH(A72,PT_DIFFERENTIATION_VTAR_ID,0))</f>
        <v>Тариф на водоотведение</v>
      </c>
      <c r="G72" s="6881" t="str">
        <f>INDEX(PT_DIFFERENTIATION_NTAR,MATCH(B72,PT_DIFFERENTIATION_NTAR_ID,0))</f>
        <v/>
      </c>
      <c r="H72" s="1771"/>
      <c r="I72" s="1647"/>
      <c r="J72" s="1682"/>
      <c r="K72" s="1774"/>
      <c r="L72" s="1771" t="s">
        <v>424</v>
      </c>
      <c r="M72" s="6677"/>
      <c r="N72" s="261"/>
      <c r="O72" s="1535"/>
      <c r="P72" s="1535"/>
    </row>
    <row r="73" spans="1:16" s="2045" customFormat="1" ht="18.75" hidden="1" customHeight="1">
      <c r="A73" s="1689"/>
      <c r="B73" s="1689"/>
      <c r="C73" s="297" t="s">
        <v>1182</v>
      </c>
      <c r="D73" s="6909"/>
      <c r="E73" s="6717"/>
      <c r="F73" s="6852"/>
      <c r="G73" s="6881"/>
      <c r="H73" s="1409"/>
      <c r="I73" s="572" t="s">
        <v>1183</v>
      </c>
      <c r="J73" s="496"/>
      <c r="K73" s="1409"/>
      <c r="L73" s="135"/>
      <c r="M73" s="6677"/>
      <c r="N73" s="261"/>
      <c r="O73" s="1535"/>
      <c r="P73" s="1535"/>
    </row>
    <row r="74" spans="1:16" s="2045" customFormat="1" ht="0.75" hidden="1" customHeight="1">
      <c r="A74" s="1689"/>
      <c r="B74" s="1689"/>
      <c r="C74" s="297" t="s">
        <v>1188</v>
      </c>
      <c r="D74" s="6909"/>
      <c r="E74" s="6717"/>
      <c r="F74" s="6852"/>
      <c r="G74" s="334"/>
      <c r="H74" s="1409"/>
      <c r="I74" s="572"/>
      <c r="J74" s="496"/>
      <c r="K74" s="1409"/>
      <c r="L74" s="135"/>
      <c r="M74" s="6677"/>
      <c r="N74" s="261"/>
      <c r="O74" s="1535"/>
      <c r="P74" s="1535"/>
    </row>
    <row r="75" spans="1:16" s="2045" customFormat="1" ht="18.75" hidden="1" customHeight="1">
      <c r="A75" s="1689" t="s">
        <v>388</v>
      </c>
      <c r="B75" s="1689" t="s">
        <v>389</v>
      </c>
      <c r="C75" s="297"/>
      <c r="D75" s="6909"/>
      <c r="E75" s="6717"/>
      <c r="F75" s="6852" t="str">
        <f>INDEX(PT_DIFFERENTIATION_VTAR,MATCH(A75,PT_DIFFERENTIATION_VTAR_ID,0))</f>
        <v>Тариф на транспортировку сточных вод</v>
      </c>
      <c r="G75" s="6881" t="str">
        <f>INDEX(PT_DIFFERENTIATION_NTAR,MATCH(B75,PT_DIFFERENTIATION_NTAR_ID,0))</f>
        <v/>
      </c>
      <c r="H75" s="1771"/>
      <c r="I75" s="1647"/>
      <c r="J75" s="1682"/>
      <c r="K75" s="1774"/>
      <c r="L75" s="1771" t="s">
        <v>424</v>
      </c>
      <c r="M75" s="6677"/>
      <c r="N75" s="261"/>
      <c r="O75" s="1535"/>
      <c r="P75" s="1535"/>
    </row>
    <row r="76" spans="1:16" s="2045" customFormat="1" ht="18.75" hidden="1" customHeight="1">
      <c r="A76" s="1689"/>
      <c r="B76" s="1689"/>
      <c r="C76" s="297" t="s">
        <v>1182</v>
      </c>
      <c r="D76" s="6909"/>
      <c r="E76" s="6717"/>
      <c r="F76" s="6852"/>
      <c r="G76" s="6881"/>
      <c r="H76" s="1409"/>
      <c r="I76" s="572" t="s">
        <v>1183</v>
      </c>
      <c r="J76" s="496"/>
      <c r="K76" s="1409"/>
      <c r="L76" s="135"/>
      <c r="M76" s="6677"/>
      <c r="N76" s="261"/>
      <c r="O76" s="1535"/>
      <c r="P76" s="1535"/>
    </row>
    <row r="77" spans="1:16" s="2045" customFormat="1" ht="0.75" hidden="1" customHeight="1">
      <c r="A77" s="1689"/>
      <c r="B77" s="1689"/>
      <c r="C77" s="297" t="s">
        <v>1188</v>
      </c>
      <c r="D77" s="6909"/>
      <c r="E77" s="6717"/>
      <c r="F77" s="6852"/>
      <c r="G77" s="334"/>
      <c r="H77" s="1409"/>
      <c r="I77" s="572"/>
      <c r="J77" s="496"/>
      <c r="K77" s="1409"/>
      <c r="L77" s="135"/>
      <c r="M77" s="6677"/>
      <c r="N77" s="261"/>
      <c r="O77" s="1535"/>
      <c r="P77" s="1535"/>
    </row>
    <row r="78" spans="1:16" s="2045" customFormat="1" ht="18.75" hidden="1" customHeight="1">
      <c r="A78" s="1689" t="s">
        <v>393</v>
      </c>
      <c r="B78" s="1689" t="s">
        <v>394</v>
      </c>
      <c r="C78" s="297"/>
      <c r="D78" s="6909"/>
      <c r="E78" s="6717"/>
      <c r="F78" s="6852" t="str">
        <f>INDEX(PT_DIFFERENTIATION_VTAR,MATCH(A78,PT_DIFFERENTIATION_VTAR_ID,0))</f>
        <v>Тариф на подключение (технологическое присоединение) к централизованной системе водоотведения</v>
      </c>
      <c r="G78" s="6881" t="str">
        <f>INDEX(PT_DIFFERENTIATION_NTAR,MATCH(B78,PT_DIFFERENTIATION_NTAR_ID,0))</f>
        <v/>
      </c>
      <c r="H78" s="1771"/>
      <c r="I78" s="1647"/>
      <c r="J78" s="1682"/>
      <c r="K78" s="1774"/>
      <c r="L78" s="1771" t="s">
        <v>424</v>
      </c>
      <c r="M78" s="6677"/>
      <c r="N78" s="261"/>
      <c r="O78" s="1535"/>
      <c r="P78" s="1535"/>
    </row>
    <row r="79" spans="1:16" s="2045" customFormat="1" ht="18.75" hidden="1" customHeight="1">
      <c r="A79" s="1689"/>
      <c r="B79" s="1689"/>
      <c r="C79" s="297" t="s">
        <v>1182</v>
      </c>
      <c r="D79" s="6909"/>
      <c r="E79" s="6717"/>
      <c r="F79" s="6852"/>
      <c r="G79" s="6881"/>
      <c r="H79" s="1409"/>
      <c r="I79" s="572" t="s">
        <v>1183</v>
      </c>
      <c r="J79" s="496"/>
      <c r="K79" s="1409"/>
      <c r="L79" s="135"/>
      <c r="M79" s="6677"/>
      <c r="N79" s="261"/>
      <c r="O79" s="1535"/>
      <c r="P79" s="1535"/>
    </row>
    <row r="80" spans="1:16" s="2045" customFormat="1" ht="0.75" customHeight="1">
      <c r="A80" s="1689"/>
      <c r="B80" s="1689"/>
      <c r="C80" s="297" t="s">
        <v>1188</v>
      </c>
      <c r="D80" s="6909"/>
      <c r="E80" s="6717"/>
      <c r="F80" s="6852"/>
      <c r="G80" s="334"/>
      <c r="H80" s="1409"/>
      <c r="I80" s="572"/>
      <c r="J80" s="496"/>
      <c r="K80" s="1409"/>
      <c r="L80" s="135"/>
      <c r="M80" s="6677"/>
      <c r="N80" s="261"/>
      <c r="O80" s="1535"/>
      <c r="P80" s="1535"/>
    </row>
    <row r="81" spans="1:16" ht="18.75" customHeight="1">
      <c r="A81" s="1689"/>
      <c r="B81" s="1689"/>
      <c r="D81" s="305"/>
      <c r="E81" s="71" t="s">
        <v>98</v>
      </c>
      <c r="F81" s="690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6908"/>
      <c r="H81" s="6908"/>
      <c r="I81" s="6908"/>
      <c r="J81" s="6908"/>
      <c r="K81" s="6908"/>
      <c r="L81" s="6908"/>
      <c r="M81" s="216"/>
      <c r="N81" s="261"/>
    </row>
    <row r="82" spans="1:16" ht="33.75" customHeight="1">
      <c r="A82" s="1689"/>
      <c r="B82" s="1689"/>
      <c r="D82" s="305"/>
      <c r="E82" s="333"/>
      <c r="F82" s="119" t="s">
        <v>424</v>
      </c>
      <c r="G82" s="119" t="s">
        <v>424</v>
      </c>
      <c r="H82" s="6731" t="s">
        <v>424</v>
      </c>
      <c r="I82" s="6733"/>
      <c r="J82" s="119" t="s">
        <v>424</v>
      </c>
      <c r="K82" s="119" t="s">
        <v>424</v>
      </c>
      <c r="L82" s="335"/>
      <c r="M82" s="271" t="s">
        <v>1189</v>
      </c>
      <c r="N82" s="261"/>
    </row>
    <row r="83" spans="1:16" ht="18.75" customHeight="1">
      <c r="A83" s="1689"/>
      <c r="B83" s="1689"/>
      <c r="D83" s="305"/>
      <c r="E83" s="71" t="s">
        <v>89</v>
      </c>
      <c r="F83" s="6908" t="s">
        <v>1190</v>
      </c>
      <c r="G83" s="6908"/>
      <c r="H83" s="6908"/>
      <c r="I83" s="6908"/>
      <c r="J83" s="6908"/>
      <c r="K83" s="6908"/>
      <c r="L83" s="6908"/>
      <c r="M83" s="216"/>
      <c r="N83" s="261"/>
    </row>
    <row r="84" spans="1:16" s="2045" customFormat="1" ht="60.75" hidden="1" customHeight="1">
      <c r="A84" s="1689" t="s">
        <v>215</v>
      </c>
      <c r="B84" s="1689" t="s">
        <v>216</v>
      </c>
      <c r="C84" s="297"/>
      <c r="D84" s="6909"/>
      <c r="E84" s="6717"/>
      <c r="F84" s="6852"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6881" t="str">
        <f>INDEX(PT_DIFFERENTIATION_NTAR,MATCH(B84,PT_DIFFERENTIATION_NTAR_ID,0))</f>
        <v/>
      </c>
      <c r="H84" s="1771"/>
      <c r="I84" s="1647"/>
      <c r="J84" s="1682"/>
      <c r="K84" s="1687"/>
      <c r="L84" s="1771" t="s">
        <v>424</v>
      </c>
      <c r="M84" s="66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5"/>
      <c r="P84" s="1535"/>
    </row>
    <row r="85" spans="1:16" s="2045" customFormat="1" ht="18.75" hidden="1" customHeight="1">
      <c r="A85" s="1689"/>
      <c r="B85" s="1689"/>
      <c r="C85" s="297" t="s">
        <v>1184</v>
      </c>
      <c r="D85" s="6909"/>
      <c r="E85" s="6717"/>
      <c r="F85" s="6852"/>
      <c r="G85" s="6881"/>
      <c r="H85" s="1409"/>
      <c r="I85" s="572" t="s">
        <v>1183</v>
      </c>
      <c r="J85" s="496"/>
      <c r="K85" s="1409"/>
      <c r="L85" s="135"/>
      <c r="M85" s="6677"/>
      <c r="N85" s="261"/>
      <c r="O85" s="1535"/>
      <c r="P85" s="1535"/>
    </row>
    <row r="86" spans="1:16" s="2045" customFormat="1" ht="0.75" hidden="1" customHeight="1">
      <c r="A86" s="1689"/>
      <c r="B86" s="1689"/>
      <c r="C86" s="297" t="s">
        <v>1191</v>
      </c>
      <c r="D86" s="6909"/>
      <c r="E86" s="6717"/>
      <c r="F86" s="6852"/>
      <c r="G86" s="334"/>
      <c r="H86" s="1409"/>
      <c r="I86" s="572"/>
      <c r="J86" s="496"/>
      <c r="K86" s="1409"/>
      <c r="L86" s="135"/>
      <c r="M86" s="6677"/>
      <c r="N86" s="261"/>
      <c r="O86" s="1535"/>
      <c r="P86" s="1535"/>
    </row>
    <row r="87" spans="1:16" s="2045" customFormat="1" ht="45" hidden="1" customHeight="1">
      <c r="A87" s="1689" t="s">
        <v>223</v>
      </c>
      <c r="B87" s="1689" t="s">
        <v>224</v>
      </c>
      <c r="C87" s="297"/>
      <c r="D87" s="6909"/>
      <c r="E87" s="6717"/>
      <c r="F87" s="6852"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6881" t="str">
        <f>INDEX(PT_DIFFERENTIATION_NTAR,MATCH(B87,PT_DIFFERENTIATION_NTAR_ID,0))</f>
        <v>Тариф на тепловую энергию (мощность), поставляемую потребителям</v>
      </c>
      <c r="H87" s="1771"/>
      <c r="I87" s="1647"/>
      <c r="J87" s="1682"/>
      <c r="K87" s="1687"/>
      <c r="L87" s="1771" t="s">
        <v>424</v>
      </c>
      <c r="M87" s="6678"/>
      <c r="N87" s="261"/>
      <c r="O87" s="1535"/>
      <c r="P87" s="1535"/>
    </row>
    <row r="88" spans="1:16" s="2045" customFormat="1" ht="18.75" hidden="1" customHeight="1">
      <c r="A88" s="1689"/>
      <c r="B88" s="1689"/>
      <c r="C88" s="297" t="s">
        <v>1184</v>
      </c>
      <c r="D88" s="6909"/>
      <c r="E88" s="6717"/>
      <c r="F88" s="6852"/>
      <c r="G88" s="6881"/>
      <c r="H88" s="1409"/>
      <c r="I88" s="572" t="s">
        <v>1183</v>
      </c>
      <c r="J88" s="496"/>
      <c r="K88" s="1409"/>
      <c r="L88" s="135"/>
      <c r="M88" s="1770"/>
      <c r="N88" s="261"/>
      <c r="O88" s="1535"/>
      <c r="P88" s="1535"/>
    </row>
    <row r="89" spans="1:16" s="2045" customFormat="1" ht="0.75" hidden="1" customHeight="1">
      <c r="A89" s="1689"/>
      <c r="B89" s="1689"/>
      <c r="C89" s="297" t="s">
        <v>1191</v>
      </c>
      <c r="D89" s="6909"/>
      <c r="E89" s="6717"/>
      <c r="F89" s="6852"/>
      <c r="G89" s="334"/>
      <c r="H89" s="1409"/>
      <c r="I89" s="572"/>
      <c r="J89" s="496"/>
      <c r="K89" s="1409"/>
      <c r="L89" s="135"/>
      <c r="M89" s="268"/>
      <c r="N89" s="261"/>
      <c r="O89" s="1535"/>
      <c r="P89" s="1535"/>
    </row>
    <row r="90" spans="1:16" s="2045" customFormat="1" ht="45" hidden="1" customHeight="1">
      <c r="A90" s="1689" t="s">
        <v>277</v>
      </c>
      <c r="B90" s="1689" t="s">
        <v>278</v>
      </c>
      <c r="C90" s="297"/>
      <c r="D90" s="6909"/>
      <c r="E90" s="6717"/>
      <c r="F90" s="6852"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6881" t="str">
        <f>INDEX(PT_DIFFERENTIATION_NTAR,MATCH(B90,PT_DIFFERENTIATION_NTAR_ID,0))</f>
        <v>Тариф на теплоноситель, поставляемый потребителям</v>
      </c>
      <c r="H90" s="1771"/>
      <c r="I90" s="1647"/>
      <c r="J90" s="1682"/>
      <c r="K90" s="1687"/>
      <c r="L90" s="1771" t="s">
        <v>424</v>
      </c>
      <c r="M90" s="268"/>
      <c r="N90" s="261"/>
      <c r="O90" s="1535"/>
      <c r="P90" s="1535"/>
    </row>
    <row r="91" spans="1:16" s="2045" customFormat="1" ht="18.75" hidden="1" customHeight="1">
      <c r="A91" s="1689"/>
      <c r="B91" s="1689"/>
      <c r="C91" s="297" t="s">
        <v>1184</v>
      </c>
      <c r="D91" s="6909"/>
      <c r="E91" s="6717"/>
      <c r="F91" s="6852"/>
      <c r="G91" s="6881"/>
      <c r="H91" s="1409"/>
      <c r="I91" s="572" t="s">
        <v>1183</v>
      </c>
      <c r="J91" s="496"/>
      <c r="K91" s="1409"/>
      <c r="L91" s="135"/>
      <c r="M91" s="268"/>
      <c r="N91" s="261"/>
      <c r="O91" s="1535"/>
      <c r="P91" s="1535"/>
    </row>
    <row r="92" spans="1:16" s="2045" customFormat="1" ht="0.75" hidden="1" customHeight="1">
      <c r="A92" s="1689"/>
      <c r="B92" s="1689"/>
      <c r="C92" s="297" t="s">
        <v>1191</v>
      </c>
      <c r="D92" s="6909"/>
      <c r="E92" s="6717"/>
      <c r="F92" s="6852"/>
      <c r="G92" s="334"/>
      <c r="H92" s="1409"/>
      <c r="I92" s="572"/>
      <c r="J92" s="496"/>
      <c r="K92" s="1409"/>
      <c r="L92" s="135"/>
      <c r="M92" s="268"/>
      <c r="N92" s="261"/>
      <c r="O92" s="1535"/>
      <c r="P92" s="1535"/>
    </row>
    <row r="93" spans="1:16" s="2045" customFormat="1" ht="45" hidden="1" customHeight="1">
      <c r="A93" s="1689" t="s">
        <v>294</v>
      </c>
      <c r="B93" s="1689" t="s">
        <v>295</v>
      </c>
      <c r="C93" s="297"/>
      <c r="D93" s="6909"/>
      <c r="E93" s="6717"/>
      <c r="F93" s="6852"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6881" t="str">
        <f>INDEX(PT_DIFFERENTIATION_NTAR,MATCH(B93,PT_DIFFERENTIATION_NTAR_ID,0))</f>
        <v>Тариф на горячую воду, поставляемую потребителям в открытой системе теплоснабжения (горячее водоснабжение)</v>
      </c>
      <c r="H93" s="1771"/>
      <c r="I93" s="1647"/>
      <c r="J93" s="1682"/>
      <c r="K93" s="1687"/>
      <c r="L93" s="1771" t="s">
        <v>424</v>
      </c>
      <c r="M93" s="268"/>
      <c r="N93" s="261"/>
      <c r="O93" s="1535"/>
      <c r="P93" s="1535"/>
    </row>
    <row r="94" spans="1:16" s="2045" customFormat="1" ht="18.75" hidden="1" customHeight="1">
      <c r="A94" s="1689"/>
      <c r="B94" s="1689"/>
      <c r="C94" s="297" t="s">
        <v>1184</v>
      </c>
      <c r="D94" s="6909"/>
      <c r="E94" s="6717"/>
      <c r="F94" s="6852"/>
      <c r="G94" s="6881"/>
      <c r="H94" s="1409"/>
      <c r="I94" s="572" t="s">
        <v>1183</v>
      </c>
      <c r="J94" s="496"/>
      <c r="K94" s="1409"/>
      <c r="L94" s="135"/>
      <c r="M94" s="268"/>
      <c r="N94" s="261"/>
      <c r="O94" s="1535"/>
      <c r="P94" s="1535"/>
    </row>
    <row r="95" spans="1:16" s="2045" customFormat="1" ht="0.75" hidden="1" customHeight="1">
      <c r="A95" s="1689"/>
      <c r="B95" s="1689"/>
      <c r="C95" s="297" t="s">
        <v>1191</v>
      </c>
      <c r="D95" s="6909"/>
      <c r="E95" s="6717"/>
      <c r="F95" s="6852"/>
      <c r="G95" s="334"/>
      <c r="H95" s="1409"/>
      <c r="I95" s="572"/>
      <c r="J95" s="496"/>
      <c r="K95" s="1409"/>
      <c r="L95" s="135"/>
      <c r="M95" s="268"/>
      <c r="N95" s="261"/>
      <c r="O95" s="1535"/>
      <c r="P95" s="1535"/>
    </row>
    <row r="96" spans="1:16" s="2045" customFormat="1" ht="18.75" hidden="1" customHeight="1">
      <c r="A96" s="1689" t="s">
        <v>309</v>
      </c>
      <c r="B96" s="1689" t="s">
        <v>310</v>
      </c>
      <c r="C96" s="297"/>
      <c r="D96" s="6909"/>
      <c r="E96" s="6717"/>
      <c r="F96" s="6852" t="str">
        <f>INDEX(PT_DIFFERENTIATION_VTAR,MATCH(A96,PT_DIFFERENTIATION_VTAR_ID,0))</f>
        <v>Тарифы на услуги по передаче тепловой энергии</v>
      </c>
      <c r="G96" s="6881" t="str">
        <f>INDEX(PT_DIFFERENTIATION_NTAR,MATCH(B96,PT_DIFFERENTIATION_NTAR_ID,0))</f>
        <v/>
      </c>
      <c r="H96" s="1771"/>
      <c r="I96" s="1647"/>
      <c r="J96" s="1682"/>
      <c r="K96" s="1687"/>
      <c r="L96" s="1771" t="s">
        <v>424</v>
      </c>
      <c r="M96" s="268"/>
      <c r="N96" s="261"/>
      <c r="O96" s="1535"/>
      <c r="P96" s="1535"/>
    </row>
    <row r="97" spans="1:16" s="2045" customFormat="1" ht="18.75" hidden="1" customHeight="1">
      <c r="A97" s="1689"/>
      <c r="B97" s="1689"/>
      <c r="C97" s="297" t="s">
        <v>1184</v>
      </c>
      <c r="D97" s="6909"/>
      <c r="E97" s="6717"/>
      <c r="F97" s="6852"/>
      <c r="G97" s="6881"/>
      <c r="H97" s="1409"/>
      <c r="I97" s="572" t="s">
        <v>1183</v>
      </c>
      <c r="J97" s="496"/>
      <c r="K97" s="1409"/>
      <c r="L97" s="135"/>
      <c r="M97" s="268"/>
      <c r="N97" s="261"/>
      <c r="O97" s="1535"/>
      <c r="P97" s="1535"/>
    </row>
    <row r="98" spans="1:16" s="2045" customFormat="1" ht="0.75" hidden="1" customHeight="1">
      <c r="A98" s="1689"/>
      <c r="B98" s="1689"/>
      <c r="C98" s="297" t="s">
        <v>1191</v>
      </c>
      <c r="D98" s="6909"/>
      <c r="E98" s="6717"/>
      <c r="F98" s="6852"/>
      <c r="G98" s="334"/>
      <c r="H98" s="1409"/>
      <c r="I98" s="572"/>
      <c r="J98" s="496"/>
      <c r="K98" s="1409"/>
      <c r="L98" s="135"/>
      <c r="M98" s="268"/>
      <c r="N98" s="261"/>
      <c r="O98" s="1535"/>
      <c r="P98" s="1535"/>
    </row>
    <row r="99" spans="1:16" s="2045" customFormat="1" ht="18.75" hidden="1" customHeight="1">
      <c r="A99" s="1689" t="s">
        <v>315</v>
      </c>
      <c r="B99" s="1689" t="s">
        <v>316</v>
      </c>
      <c r="C99" s="297"/>
      <c r="D99" s="6909"/>
      <c r="E99" s="6717"/>
      <c r="F99" s="6852" t="str">
        <f>INDEX(PT_DIFFERENTIATION_VTAR,MATCH(A99,PT_DIFFERENTIATION_VTAR_ID,0))</f>
        <v>Тарифы на услуги по передаче теплоносителя</v>
      </c>
      <c r="G99" s="6881" t="str">
        <f>INDEX(PT_DIFFERENTIATION_NTAR,MATCH(B99,PT_DIFFERENTIATION_NTAR_ID,0))</f>
        <v/>
      </c>
      <c r="H99" s="1771"/>
      <c r="I99" s="1647"/>
      <c r="J99" s="1682"/>
      <c r="K99" s="1687"/>
      <c r="L99" s="1771" t="s">
        <v>424</v>
      </c>
      <c r="M99" s="268"/>
      <c r="N99" s="261"/>
      <c r="O99" s="1535"/>
      <c r="P99" s="1535"/>
    </row>
    <row r="100" spans="1:16" s="2045" customFormat="1" ht="18.75" hidden="1" customHeight="1">
      <c r="A100" s="1689"/>
      <c r="B100" s="1689"/>
      <c r="C100" s="297" t="s">
        <v>1184</v>
      </c>
      <c r="D100" s="6909"/>
      <c r="E100" s="6717"/>
      <c r="F100" s="6852"/>
      <c r="G100" s="6881"/>
      <c r="H100" s="1409"/>
      <c r="I100" s="572" t="s">
        <v>1183</v>
      </c>
      <c r="J100" s="496"/>
      <c r="K100" s="1409"/>
      <c r="L100" s="135"/>
      <c r="M100" s="268"/>
      <c r="N100" s="261"/>
      <c r="O100" s="1535"/>
      <c r="P100" s="1535"/>
    </row>
    <row r="101" spans="1:16" s="2045" customFormat="1" ht="0.75" hidden="1" customHeight="1">
      <c r="A101" s="1689"/>
      <c r="B101" s="1689"/>
      <c r="C101" s="297" t="s">
        <v>1191</v>
      </c>
      <c r="D101" s="6909"/>
      <c r="E101" s="6717"/>
      <c r="F101" s="6852"/>
      <c r="G101" s="334"/>
      <c r="H101" s="1409"/>
      <c r="I101" s="572"/>
      <c r="J101" s="496"/>
      <c r="K101" s="1409"/>
      <c r="L101" s="135"/>
      <c r="M101" s="268"/>
      <c r="N101" s="261"/>
      <c r="O101" s="1535"/>
      <c r="P101" s="1535"/>
    </row>
    <row r="102" spans="1:16" s="2045" customFormat="1" ht="18.75" hidden="1" customHeight="1">
      <c r="A102" s="1689" t="s">
        <v>321</v>
      </c>
      <c r="B102" s="1689" t="s">
        <v>322</v>
      </c>
      <c r="C102" s="297"/>
      <c r="D102" s="6909"/>
      <c r="E102" s="6717"/>
      <c r="F102" s="6852" t="str">
        <f>INDEX(PT_DIFFERENTIATION_VTAR,MATCH(A102,PT_DIFFERENTIATION_VTAR_ID,0))</f>
        <v>Плата за услуги по поддержанию резервной тепловой мощности при отсутствии потребления тепловой энергии</v>
      </c>
      <c r="G102" s="6881" t="str">
        <f>INDEX(PT_DIFFERENTIATION_NTAR,MATCH(B102,PT_DIFFERENTIATION_NTAR_ID,0))</f>
        <v/>
      </c>
      <c r="H102" s="1771"/>
      <c r="I102" s="1647"/>
      <c r="J102" s="1682"/>
      <c r="K102" s="1687"/>
      <c r="L102" s="1771" t="s">
        <v>424</v>
      </c>
      <c r="M102" s="268"/>
      <c r="N102" s="261"/>
      <c r="O102" s="1535"/>
      <c r="P102" s="1535"/>
    </row>
    <row r="103" spans="1:16" s="2045" customFormat="1" ht="18.75" hidden="1" customHeight="1">
      <c r="A103" s="1689"/>
      <c r="B103" s="1689"/>
      <c r="C103" s="297" t="s">
        <v>1184</v>
      </c>
      <c r="D103" s="6909"/>
      <c r="E103" s="6717"/>
      <c r="F103" s="6852"/>
      <c r="G103" s="6881"/>
      <c r="H103" s="1409"/>
      <c r="I103" s="572" t="s">
        <v>1183</v>
      </c>
      <c r="J103" s="496"/>
      <c r="K103" s="1409"/>
      <c r="L103" s="135"/>
      <c r="M103" s="268"/>
      <c r="N103" s="261"/>
      <c r="O103" s="1535"/>
      <c r="P103" s="1535"/>
    </row>
    <row r="104" spans="1:16" s="2045" customFormat="1" ht="0.75" hidden="1" customHeight="1">
      <c r="A104" s="1689"/>
      <c r="B104" s="1689"/>
      <c r="C104" s="297" t="s">
        <v>1191</v>
      </c>
      <c r="D104" s="6909"/>
      <c r="E104" s="6717"/>
      <c r="F104" s="6852"/>
      <c r="G104" s="334"/>
      <c r="H104" s="1409"/>
      <c r="I104" s="572"/>
      <c r="J104" s="496"/>
      <c r="K104" s="1409"/>
      <c r="L104" s="135"/>
      <c r="M104" s="268"/>
      <c r="N104" s="261"/>
      <c r="O104" s="1535"/>
      <c r="P104" s="1535"/>
    </row>
    <row r="105" spans="1:16" s="2045" customFormat="1" ht="18.75" hidden="1" customHeight="1">
      <c r="A105" s="1689" t="s">
        <v>329</v>
      </c>
      <c r="B105" s="1689" t="s">
        <v>330</v>
      </c>
      <c r="C105" s="297"/>
      <c r="D105" s="6909"/>
      <c r="E105" s="6717"/>
      <c r="F105" s="6852" t="str">
        <f>INDEX(PT_DIFFERENTIATION_VTAR,MATCH(A105,PT_DIFFERENTIATION_VTAR_ID,0))</f>
        <v>Плата за подключение (технологическое присоединение) к системе теплоснабжения</v>
      </c>
      <c r="G105" s="6881" t="str">
        <f>INDEX(PT_DIFFERENTIATION_NTAR,MATCH(B105,PT_DIFFERENTIATION_NTAR_ID,0))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H105" s="1771"/>
      <c r="I105" s="1647"/>
      <c r="J105" s="1682"/>
      <c r="K105" s="1687"/>
      <c r="L105" s="1771" t="s">
        <v>424</v>
      </c>
      <c r="M105" s="268"/>
      <c r="N105" s="261"/>
      <c r="O105" s="1535"/>
      <c r="P105" s="1535"/>
    </row>
    <row r="106" spans="1:16" s="2045" customFormat="1" ht="18.75" hidden="1" customHeight="1">
      <c r="A106" s="1689"/>
      <c r="B106" s="1689"/>
      <c r="C106" s="297" t="s">
        <v>1184</v>
      </c>
      <c r="D106" s="6909"/>
      <c r="E106" s="6717"/>
      <c r="F106" s="6852"/>
      <c r="G106" s="6881"/>
      <c r="H106" s="1409"/>
      <c r="I106" s="572" t="s">
        <v>1183</v>
      </c>
      <c r="J106" s="496"/>
      <c r="K106" s="1409"/>
      <c r="L106" s="135"/>
      <c r="M106" s="268"/>
      <c r="N106" s="261"/>
      <c r="O106" s="1535"/>
      <c r="P106" s="1535"/>
    </row>
    <row r="107" spans="1:16" s="2045" customFormat="1" ht="0.75" hidden="1" customHeight="1">
      <c r="A107" s="1689"/>
      <c r="B107" s="1689"/>
      <c r="C107" s="297" t="s">
        <v>1191</v>
      </c>
      <c r="D107" s="6909"/>
      <c r="E107" s="6717"/>
      <c r="F107" s="6852"/>
      <c r="G107" s="334"/>
      <c r="H107" s="1409"/>
      <c r="I107" s="572"/>
      <c r="J107" s="496"/>
      <c r="K107" s="1409"/>
      <c r="L107" s="135"/>
      <c r="M107" s="268"/>
      <c r="N107" s="261"/>
      <c r="O107" s="1535"/>
      <c r="P107" s="1535"/>
    </row>
    <row r="108" spans="1:16" s="2045" customFormat="1" ht="18.75" hidden="1" customHeight="1">
      <c r="A108" s="1689" t="s">
        <v>343</v>
      </c>
      <c r="B108" s="1689" t="s">
        <v>344</v>
      </c>
      <c r="C108" s="297"/>
      <c r="D108" s="6909"/>
      <c r="E108" s="6717"/>
      <c r="F108" s="6852" t="str">
        <f>INDEX(PT_DIFFERENTIATION_VTAR,MATCH(A108,PT_DIFFERENTIATION_VTAR_ID,0))</f>
        <v>Тариф на питьевую воду (питьевое водоснабжение)</v>
      </c>
      <c r="G108" s="6881" t="str">
        <f>INDEX(PT_DIFFERENTIATION_NTAR,MATCH(B108,PT_DIFFERENTIATION_NTAR_ID,0))</f>
        <v/>
      </c>
      <c r="H108" s="1771"/>
      <c r="I108" s="1647"/>
      <c r="J108" s="1682"/>
      <c r="K108" s="1687"/>
      <c r="L108" s="1771" t="s">
        <v>424</v>
      </c>
      <c r="M108" s="268"/>
      <c r="N108" s="261"/>
      <c r="O108" s="1535"/>
      <c r="P108" s="1535"/>
    </row>
    <row r="109" spans="1:16" s="2045" customFormat="1" ht="18.75" hidden="1" customHeight="1">
      <c r="A109" s="1689"/>
      <c r="B109" s="1689"/>
      <c r="C109" s="297" t="s">
        <v>1184</v>
      </c>
      <c r="D109" s="6909"/>
      <c r="E109" s="6717"/>
      <c r="F109" s="6852"/>
      <c r="G109" s="6881"/>
      <c r="H109" s="1409"/>
      <c r="I109" s="572" t="s">
        <v>1183</v>
      </c>
      <c r="J109" s="496"/>
      <c r="K109" s="1409"/>
      <c r="L109" s="135"/>
      <c r="M109" s="268"/>
      <c r="N109" s="261"/>
      <c r="O109" s="1535"/>
      <c r="P109" s="1535"/>
    </row>
    <row r="110" spans="1:16" s="2045" customFormat="1" ht="0.75" hidden="1" customHeight="1">
      <c r="A110" s="1689"/>
      <c r="B110" s="1689"/>
      <c r="C110" s="297" t="s">
        <v>1191</v>
      </c>
      <c r="D110" s="6909"/>
      <c r="E110" s="6717"/>
      <c r="F110" s="6852"/>
      <c r="G110" s="334"/>
      <c r="H110" s="1409"/>
      <c r="I110" s="572"/>
      <c r="J110" s="496"/>
      <c r="K110" s="1409"/>
      <c r="L110" s="135"/>
      <c r="M110" s="268"/>
      <c r="N110" s="261"/>
      <c r="O110" s="1535"/>
      <c r="P110" s="1535"/>
    </row>
    <row r="111" spans="1:16" s="2045" customFormat="1" ht="18.75" hidden="1" customHeight="1">
      <c r="A111" s="1689" t="s">
        <v>348</v>
      </c>
      <c r="B111" s="1689" t="s">
        <v>349</v>
      </c>
      <c r="C111" s="297"/>
      <c r="D111" s="6909"/>
      <c r="E111" s="6717"/>
      <c r="F111" s="6852" t="str">
        <f>INDEX(PT_DIFFERENTIATION_VTAR,MATCH(A111,PT_DIFFERENTIATION_VTAR_ID,0))</f>
        <v>Тариф на техническую воду</v>
      </c>
      <c r="G111" s="6881" t="str">
        <f>INDEX(PT_DIFFERENTIATION_NTAR,MATCH(B111,PT_DIFFERENTIATION_NTAR_ID,0))</f>
        <v/>
      </c>
      <c r="H111" s="1771"/>
      <c r="I111" s="1647"/>
      <c r="J111" s="1682"/>
      <c r="K111" s="1687"/>
      <c r="L111" s="1771" t="s">
        <v>424</v>
      </c>
      <c r="M111" s="268"/>
      <c r="N111" s="261"/>
      <c r="O111" s="1535"/>
      <c r="P111" s="1535"/>
    </row>
    <row r="112" spans="1:16" s="2045" customFormat="1" ht="18.75" hidden="1" customHeight="1">
      <c r="A112" s="1689"/>
      <c r="B112" s="1689"/>
      <c r="C112" s="297" t="s">
        <v>1184</v>
      </c>
      <c r="D112" s="6909"/>
      <c r="E112" s="6717"/>
      <c r="F112" s="6852"/>
      <c r="G112" s="6881"/>
      <c r="H112" s="1409"/>
      <c r="I112" s="572" t="s">
        <v>1183</v>
      </c>
      <c r="J112" s="496"/>
      <c r="K112" s="1409"/>
      <c r="L112" s="135"/>
      <c r="M112" s="268"/>
      <c r="N112" s="261"/>
      <c r="O112" s="1535"/>
      <c r="P112" s="1535"/>
    </row>
    <row r="113" spans="1:16" s="2045" customFormat="1" ht="0.75" hidden="1" customHeight="1">
      <c r="A113" s="1689"/>
      <c r="B113" s="1689"/>
      <c r="C113" s="297" t="s">
        <v>1191</v>
      </c>
      <c r="D113" s="6909"/>
      <c r="E113" s="6717"/>
      <c r="F113" s="6852"/>
      <c r="G113" s="334"/>
      <c r="H113" s="1409"/>
      <c r="I113" s="572"/>
      <c r="J113" s="496"/>
      <c r="K113" s="1409"/>
      <c r="L113" s="135"/>
      <c r="M113" s="268"/>
      <c r="N113" s="261"/>
      <c r="O113" s="1535"/>
      <c r="P113" s="1535"/>
    </row>
    <row r="114" spans="1:16" s="2045" customFormat="1" ht="18.75" hidden="1" customHeight="1">
      <c r="A114" s="1689" t="s">
        <v>353</v>
      </c>
      <c r="B114" s="1689" t="s">
        <v>354</v>
      </c>
      <c r="C114" s="297"/>
      <c r="D114" s="6909"/>
      <c r="E114" s="6717"/>
      <c r="F114" s="6852" t="str">
        <f>INDEX(PT_DIFFERENTIATION_VTAR,MATCH(A114,PT_DIFFERENTIATION_VTAR_ID,0))</f>
        <v>Тариф на транспортировку воды</v>
      </c>
      <c r="G114" s="6881" t="str">
        <f>INDEX(PT_DIFFERENTIATION_NTAR,MATCH(B114,PT_DIFFERENTIATION_NTAR_ID,0))</f>
        <v/>
      </c>
      <c r="H114" s="1771"/>
      <c r="I114" s="1647"/>
      <c r="J114" s="1682"/>
      <c r="K114" s="1687"/>
      <c r="L114" s="1771" t="s">
        <v>424</v>
      </c>
      <c r="M114" s="268"/>
      <c r="N114" s="261"/>
      <c r="O114" s="1535"/>
      <c r="P114" s="1535"/>
    </row>
    <row r="115" spans="1:16" s="2045" customFormat="1" ht="18.75" hidden="1" customHeight="1">
      <c r="A115" s="1689"/>
      <c r="B115" s="1689"/>
      <c r="C115" s="297" t="s">
        <v>1184</v>
      </c>
      <c r="D115" s="6909"/>
      <c r="E115" s="6717"/>
      <c r="F115" s="6852"/>
      <c r="G115" s="6881"/>
      <c r="H115" s="1409"/>
      <c r="I115" s="572" t="s">
        <v>1183</v>
      </c>
      <c r="J115" s="496"/>
      <c r="K115" s="1409"/>
      <c r="L115" s="135"/>
      <c r="M115" s="268"/>
      <c r="N115" s="261"/>
      <c r="O115" s="1535"/>
      <c r="P115" s="1535"/>
    </row>
    <row r="116" spans="1:16" s="2045" customFormat="1" ht="0.75" hidden="1" customHeight="1">
      <c r="A116" s="1689"/>
      <c r="B116" s="1689"/>
      <c r="C116" s="297" t="s">
        <v>1191</v>
      </c>
      <c r="D116" s="6909"/>
      <c r="E116" s="6717"/>
      <c r="F116" s="6852"/>
      <c r="G116" s="334"/>
      <c r="H116" s="1409"/>
      <c r="I116" s="572"/>
      <c r="J116" s="496"/>
      <c r="K116" s="1409"/>
      <c r="L116" s="135"/>
      <c r="M116" s="268"/>
      <c r="N116" s="261"/>
      <c r="O116" s="1535"/>
      <c r="P116" s="1535"/>
    </row>
    <row r="117" spans="1:16" s="2045" customFormat="1" ht="18.75" hidden="1" customHeight="1">
      <c r="A117" s="1689" t="s">
        <v>358</v>
      </c>
      <c r="B117" s="1689" t="s">
        <v>359</v>
      </c>
      <c r="C117" s="297"/>
      <c r="D117" s="6909"/>
      <c r="E117" s="6717"/>
      <c r="F117" s="6852" t="str">
        <f>INDEX(PT_DIFFERENTIATION_VTAR,MATCH(A117,PT_DIFFERENTIATION_VTAR_ID,0))</f>
        <v>Тариф на подвоз воды</v>
      </c>
      <c r="G117" s="6881" t="str">
        <f>INDEX(PT_DIFFERENTIATION_NTAR,MATCH(B117,PT_DIFFERENTIATION_NTAR_ID,0))</f>
        <v/>
      </c>
      <c r="H117" s="1771"/>
      <c r="I117" s="1647"/>
      <c r="J117" s="1682"/>
      <c r="K117" s="1687"/>
      <c r="L117" s="1771" t="s">
        <v>424</v>
      </c>
      <c r="M117" s="268"/>
      <c r="N117" s="261"/>
      <c r="O117" s="1535"/>
      <c r="P117" s="1535"/>
    </row>
    <row r="118" spans="1:16" s="2045" customFormat="1" ht="18.75" hidden="1" customHeight="1">
      <c r="A118" s="1689"/>
      <c r="B118" s="1689"/>
      <c r="C118" s="297" t="s">
        <v>1184</v>
      </c>
      <c r="D118" s="6909"/>
      <c r="E118" s="6717"/>
      <c r="F118" s="6852"/>
      <c r="G118" s="6881"/>
      <c r="H118" s="1409"/>
      <c r="I118" s="572" t="s">
        <v>1183</v>
      </c>
      <c r="J118" s="496"/>
      <c r="K118" s="1409"/>
      <c r="L118" s="135"/>
      <c r="M118" s="268"/>
      <c r="N118" s="261"/>
      <c r="O118" s="1535"/>
      <c r="P118" s="1535"/>
    </row>
    <row r="119" spans="1:16" s="2045" customFormat="1" ht="0.75" hidden="1" customHeight="1">
      <c r="A119" s="1689"/>
      <c r="B119" s="1689"/>
      <c r="C119" s="297" t="s">
        <v>1191</v>
      </c>
      <c r="D119" s="6909"/>
      <c r="E119" s="6717"/>
      <c r="F119" s="6852"/>
      <c r="G119" s="334"/>
      <c r="H119" s="1409"/>
      <c r="I119" s="572"/>
      <c r="J119" s="496"/>
      <c r="K119" s="1409"/>
      <c r="L119" s="135"/>
      <c r="M119" s="268"/>
      <c r="N119" s="261"/>
      <c r="O119" s="1535"/>
      <c r="P119" s="1535"/>
    </row>
    <row r="120" spans="1:16" s="2045" customFormat="1" ht="18.75" hidden="1" customHeight="1">
      <c r="A120" s="1689" t="s">
        <v>363</v>
      </c>
      <c r="B120" s="1689" t="s">
        <v>364</v>
      </c>
      <c r="C120" s="297"/>
      <c r="D120" s="6909"/>
      <c r="E120" s="6717"/>
      <c r="F120" s="6852"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6881" t="str">
        <f>INDEX(PT_DIFFERENTIATION_NTAR,MATCH(B120,PT_DIFFERENTIATION_NTAR_ID,0))</f>
        <v/>
      </c>
      <c r="H120" s="1771"/>
      <c r="I120" s="1647"/>
      <c r="J120" s="1682"/>
      <c r="K120" s="1687"/>
      <c r="L120" s="1771" t="s">
        <v>424</v>
      </c>
      <c r="M120" s="268"/>
      <c r="N120" s="261"/>
      <c r="O120" s="1535"/>
      <c r="P120" s="1535"/>
    </row>
    <row r="121" spans="1:16" s="2045" customFormat="1" ht="18.75" hidden="1" customHeight="1">
      <c r="A121" s="1689"/>
      <c r="B121" s="1689"/>
      <c r="C121" s="297" t="s">
        <v>1184</v>
      </c>
      <c r="D121" s="6909"/>
      <c r="E121" s="6717"/>
      <c r="F121" s="6852"/>
      <c r="G121" s="6881"/>
      <c r="H121" s="1409"/>
      <c r="I121" s="572" t="s">
        <v>1183</v>
      </c>
      <c r="J121" s="496"/>
      <c r="K121" s="1409"/>
      <c r="L121" s="135"/>
      <c r="M121" s="268"/>
      <c r="N121" s="261"/>
      <c r="O121" s="1535"/>
      <c r="P121" s="1535"/>
    </row>
    <row r="122" spans="1:16" s="2045" customFormat="1" ht="0.75" hidden="1" customHeight="1">
      <c r="A122" s="1689"/>
      <c r="B122" s="1689"/>
      <c r="C122" s="297" t="s">
        <v>1191</v>
      </c>
      <c r="D122" s="6909"/>
      <c r="E122" s="6717"/>
      <c r="F122" s="6852"/>
      <c r="G122" s="334"/>
      <c r="H122" s="1409"/>
      <c r="I122" s="572"/>
      <c r="J122" s="496"/>
      <c r="K122" s="1409"/>
      <c r="L122" s="135"/>
      <c r="M122" s="268"/>
      <c r="N122" s="261"/>
      <c r="O122" s="1535"/>
      <c r="P122" s="1535"/>
    </row>
    <row r="123" spans="1:16" s="2045" customFormat="1" ht="18.75" hidden="1" customHeight="1">
      <c r="A123" s="1689" t="s">
        <v>368</v>
      </c>
      <c r="B123" s="1689" t="s">
        <v>369</v>
      </c>
      <c r="C123" s="297"/>
      <c r="D123" s="6909"/>
      <c r="E123" s="6717"/>
      <c r="F123" s="6852" t="str">
        <f>INDEX(PT_DIFFERENTIATION_VTAR,MATCH(A123,PT_DIFFERENTIATION_VTAR_ID,0))</f>
        <v>Тариф на горячую воду (горячее водоснабжение)</v>
      </c>
      <c r="G123" s="6881" t="str">
        <f>INDEX(PT_DIFFERENTIATION_NTAR,MATCH(B123,PT_DIFFERENTIATION_NTAR_ID,0))</f>
        <v/>
      </c>
      <c r="H123" s="1771"/>
      <c r="I123" s="1647"/>
      <c r="J123" s="1682"/>
      <c r="K123" s="1687"/>
      <c r="L123" s="1771" t="s">
        <v>424</v>
      </c>
      <c r="M123" s="268"/>
      <c r="N123" s="261"/>
      <c r="O123" s="1535"/>
      <c r="P123" s="1535"/>
    </row>
    <row r="124" spans="1:16" s="2045" customFormat="1" ht="18.75" hidden="1" customHeight="1">
      <c r="A124" s="1689"/>
      <c r="B124" s="1689"/>
      <c r="C124" s="297" t="s">
        <v>1184</v>
      </c>
      <c r="D124" s="6909"/>
      <c r="E124" s="6717"/>
      <c r="F124" s="6852"/>
      <c r="G124" s="6881"/>
      <c r="H124" s="1409"/>
      <c r="I124" s="572" t="s">
        <v>1183</v>
      </c>
      <c r="J124" s="496"/>
      <c r="K124" s="1409"/>
      <c r="L124" s="135"/>
      <c r="M124" s="268"/>
      <c r="N124" s="261"/>
      <c r="O124" s="1535"/>
      <c r="P124" s="1535"/>
    </row>
    <row r="125" spans="1:16" s="2045" customFormat="1" ht="0.75" hidden="1" customHeight="1">
      <c r="A125" s="1689"/>
      <c r="B125" s="1689"/>
      <c r="C125" s="297" t="s">
        <v>1191</v>
      </c>
      <c r="D125" s="6909"/>
      <c r="E125" s="6717"/>
      <c r="F125" s="6852"/>
      <c r="G125" s="334"/>
      <c r="H125" s="1409"/>
      <c r="I125" s="572"/>
      <c r="J125" s="496"/>
      <c r="K125" s="1409"/>
      <c r="L125" s="135"/>
      <c r="M125" s="268"/>
      <c r="N125" s="261"/>
      <c r="O125" s="1535"/>
      <c r="P125" s="1535"/>
    </row>
    <row r="126" spans="1:16" s="2045" customFormat="1" ht="18.75" hidden="1" customHeight="1">
      <c r="A126" s="1689" t="s">
        <v>373</v>
      </c>
      <c r="B126" s="1689" t="s">
        <v>374</v>
      </c>
      <c r="C126" s="297"/>
      <c r="D126" s="6909"/>
      <c r="E126" s="6717"/>
      <c r="F126" s="6852" t="str">
        <f>INDEX(PT_DIFFERENTIATION_VTAR,MATCH(A126,PT_DIFFERENTIATION_VTAR_ID,0))</f>
        <v>Тариф на транспортировку горячей воды</v>
      </c>
      <c r="G126" s="6881" t="str">
        <f>INDEX(PT_DIFFERENTIATION_NTAR,MATCH(B126,PT_DIFFERENTIATION_NTAR_ID,0))</f>
        <v/>
      </c>
      <c r="H126" s="1771"/>
      <c r="I126" s="1647"/>
      <c r="J126" s="1682"/>
      <c r="K126" s="1687"/>
      <c r="L126" s="1771" t="s">
        <v>424</v>
      </c>
      <c r="M126" s="268"/>
      <c r="N126" s="261"/>
      <c r="O126" s="1535"/>
      <c r="P126" s="1535"/>
    </row>
    <row r="127" spans="1:16" s="2045" customFormat="1" ht="18.75" hidden="1" customHeight="1">
      <c r="A127" s="1689"/>
      <c r="B127" s="1689"/>
      <c r="C127" s="297" t="s">
        <v>1184</v>
      </c>
      <c r="D127" s="6909"/>
      <c r="E127" s="6717"/>
      <c r="F127" s="6852"/>
      <c r="G127" s="6881"/>
      <c r="H127" s="1409"/>
      <c r="I127" s="572" t="s">
        <v>1183</v>
      </c>
      <c r="J127" s="496"/>
      <c r="K127" s="1409"/>
      <c r="L127" s="135"/>
      <c r="M127" s="268"/>
      <c r="N127" s="261"/>
      <c r="O127" s="1535"/>
      <c r="P127" s="1535"/>
    </row>
    <row r="128" spans="1:16" s="2045" customFormat="1" ht="0.75" hidden="1" customHeight="1">
      <c r="A128" s="1689"/>
      <c r="B128" s="1689"/>
      <c r="C128" s="297" t="s">
        <v>1191</v>
      </c>
      <c r="D128" s="6909"/>
      <c r="E128" s="6717"/>
      <c r="F128" s="6852"/>
      <c r="G128" s="334"/>
      <c r="H128" s="1409"/>
      <c r="I128" s="572"/>
      <c r="J128" s="496"/>
      <c r="K128" s="1409"/>
      <c r="L128" s="135"/>
      <c r="M128" s="268"/>
      <c r="N128" s="261"/>
      <c r="O128" s="1535"/>
      <c r="P128" s="1535"/>
    </row>
    <row r="129" spans="1:16" s="2045" customFormat="1" ht="18.75" hidden="1" customHeight="1">
      <c r="A129" s="1689" t="s">
        <v>378</v>
      </c>
      <c r="B129" s="1689" t="s">
        <v>379</v>
      </c>
      <c r="C129" s="297"/>
      <c r="D129" s="6909"/>
      <c r="E129" s="6717"/>
      <c r="F129" s="6852" t="str">
        <f>INDEX(PT_DIFFERENTIATION_VTAR,MATCH(A129,PT_DIFFERENTIATION_VTAR_ID,0))</f>
        <v>Тариф на подключение (технологическое присоединение) к централизованной системе горячего водоснабжения</v>
      </c>
      <c r="G129" s="6881" t="str">
        <f>INDEX(PT_DIFFERENTIATION_NTAR,MATCH(B129,PT_DIFFERENTIATION_NTAR_ID,0))</f>
        <v/>
      </c>
      <c r="H129" s="1771"/>
      <c r="I129" s="1647"/>
      <c r="J129" s="1682"/>
      <c r="K129" s="1687"/>
      <c r="L129" s="1771" t="s">
        <v>424</v>
      </c>
      <c r="M129" s="268"/>
      <c r="N129" s="261"/>
      <c r="O129" s="1535"/>
      <c r="P129" s="1535"/>
    </row>
    <row r="130" spans="1:16" s="2045" customFormat="1" ht="18.75" hidden="1" customHeight="1">
      <c r="A130" s="1689"/>
      <c r="B130" s="1689"/>
      <c r="C130" s="297" t="s">
        <v>1184</v>
      </c>
      <c r="D130" s="6909"/>
      <c r="E130" s="6717"/>
      <c r="F130" s="6852"/>
      <c r="G130" s="6881"/>
      <c r="H130" s="1409"/>
      <c r="I130" s="572" t="s">
        <v>1183</v>
      </c>
      <c r="J130" s="496"/>
      <c r="K130" s="1409"/>
      <c r="L130" s="135"/>
      <c r="M130" s="268"/>
      <c r="N130" s="261"/>
      <c r="O130" s="1535"/>
      <c r="P130" s="1535"/>
    </row>
    <row r="131" spans="1:16" s="2045" customFormat="1" ht="0.75" hidden="1" customHeight="1">
      <c r="A131" s="1689"/>
      <c r="B131" s="1689"/>
      <c r="C131" s="297" t="s">
        <v>1191</v>
      </c>
      <c r="D131" s="6909"/>
      <c r="E131" s="6717"/>
      <c r="F131" s="6852"/>
      <c r="G131" s="334"/>
      <c r="H131" s="1409"/>
      <c r="I131" s="572"/>
      <c r="J131" s="496"/>
      <c r="K131" s="1409"/>
      <c r="L131" s="135"/>
      <c r="M131" s="268"/>
      <c r="N131" s="261"/>
      <c r="O131" s="1535"/>
      <c r="P131" s="1535"/>
    </row>
    <row r="132" spans="1:16" s="2045" customFormat="1" ht="18.75" hidden="1" customHeight="1">
      <c r="A132" s="1689" t="s">
        <v>383</v>
      </c>
      <c r="B132" s="1689" t="s">
        <v>384</v>
      </c>
      <c r="C132" s="297"/>
      <c r="D132" s="6909"/>
      <c r="E132" s="6717"/>
      <c r="F132" s="6852" t="str">
        <f>INDEX(PT_DIFFERENTIATION_VTAR,MATCH(A132,PT_DIFFERENTIATION_VTAR_ID,0))</f>
        <v>Тариф на водоотведение</v>
      </c>
      <c r="G132" s="6881" t="str">
        <f>INDEX(PT_DIFFERENTIATION_NTAR,MATCH(B132,PT_DIFFERENTIATION_NTAR_ID,0))</f>
        <v/>
      </c>
      <c r="H132" s="1771"/>
      <c r="I132" s="1647"/>
      <c r="J132" s="1682"/>
      <c r="K132" s="1687"/>
      <c r="L132" s="1771" t="s">
        <v>424</v>
      </c>
      <c r="M132" s="268"/>
      <c r="N132" s="261"/>
      <c r="O132" s="1535"/>
      <c r="P132" s="1535"/>
    </row>
    <row r="133" spans="1:16" s="2045" customFormat="1" ht="18.75" hidden="1" customHeight="1">
      <c r="A133" s="1689"/>
      <c r="B133" s="1689"/>
      <c r="C133" s="297" t="s">
        <v>1184</v>
      </c>
      <c r="D133" s="6909"/>
      <c r="E133" s="6717"/>
      <c r="F133" s="6852"/>
      <c r="G133" s="6881"/>
      <c r="H133" s="1409"/>
      <c r="I133" s="572" t="s">
        <v>1183</v>
      </c>
      <c r="J133" s="496"/>
      <c r="K133" s="1409"/>
      <c r="L133" s="135"/>
      <c r="M133" s="268"/>
      <c r="N133" s="261"/>
      <c r="O133" s="1535"/>
      <c r="P133" s="1535"/>
    </row>
    <row r="134" spans="1:16" s="2045" customFormat="1" ht="0.75" hidden="1" customHeight="1">
      <c r="A134" s="1689"/>
      <c r="B134" s="1689"/>
      <c r="C134" s="297" t="s">
        <v>1191</v>
      </c>
      <c r="D134" s="6909"/>
      <c r="E134" s="6717"/>
      <c r="F134" s="6852"/>
      <c r="G134" s="334"/>
      <c r="H134" s="1409"/>
      <c r="I134" s="572"/>
      <c r="J134" s="496"/>
      <c r="K134" s="1409"/>
      <c r="L134" s="135"/>
      <c r="M134" s="268"/>
      <c r="N134" s="261"/>
      <c r="O134" s="1535"/>
      <c r="P134" s="1535"/>
    </row>
    <row r="135" spans="1:16" s="2045" customFormat="1" ht="18.75" hidden="1" customHeight="1">
      <c r="A135" s="1689" t="s">
        <v>388</v>
      </c>
      <c r="B135" s="1689" t="s">
        <v>389</v>
      </c>
      <c r="C135" s="297"/>
      <c r="D135" s="6909"/>
      <c r="E135" s="6717"/>
      <c r="F135" s="6852" t="str">
        <f>INDEX(PT_DIFFERENTIATION_VTAR,MATCH(A135,PT_DIFFERENTIATION_VTAR_ID,0))</f>
        <v>Тариф на транспортировку сточных вод</v>
      </c>
      <c r="G135" s="6881" t="str">
        <f>INDEX(PT_DIFFERENTIATION_NTAR,MATCH(B135,PT_DIFFERENTIATION_NTAR_ID,0))</f>
        <v/>
      </c>
      <c r="H135" s="1771"/>
      <c r="I135" s="1647"/>
      <c r="J135" s="1682"/>
      <c r="K135" s="1687"/>
      <c r="L135" s="1771" t="s">
        <v>424</v>
      </c>
      <c r="M135" s="268"/>
      <c r="N135" s="261"/>
      <c r="O135" s="1535"/>
      <c r="P135" s="1535"/>
    </row>
    <row r="136" spans="1:16" s="2045" customFormat="1" ht="18.75" hidden="1" customHeight="1">
      <c r="A136" s="1689"/>
      <c r="B136" s="1689"/>
      <c r="C136" s="297" t="s">
        <v>1184</v>
      </c>
      <c r="D136" s="6909"/>
      <c r="E136" s="6717"/>
      <c r="F136" s="6852"/>
      <c r="G136" s="6881"/>
      <c r="H136" s="1409"/>
      <c r="I136" s="572" t="s">
        <v>1183</v>
      </c>
      <c r="J136" s="496"/>
      <c r="K136" s="1409"/>
      <c r="L136" s="135"/>
      <c r="M136" s="268"/>
      <c r="N136" s="261"/>
      <c r="O136" s="1535"/>
      <c r="P136" s="1535"/>
    </row>
    <row r="137" spans="1:16" s="2045" customFormat="1" ht="0.75" hidden="1" customHeight="1">
      <c r="A137" s="1689"/>
      <c r="B137" s="1689"/>
      <c r="C137" s="297" t="s">
        <v>1191</v>
      </c>
      <c r="D137" s="6909"/>
      <c r="E137" s="6717"/>
      <c r="F137" s="6852"/>
      <c r="G137" s="334"/>
      <c r="H137" s="1409"/>
      <c r="I137" s="572"/>
      <c r="J137" s="496"/>
      <c r="K137" s="1409"/>
      <c r="L137" s="135"/>
      <c r="M137" s="268"/>
      <c r="N137" s="261"/>
      <c r="O137" s="1535"/>
      <c r="P137" s="1535"/>
    </row>
    <row r="138" spans="1:16" s="2045" customFormat="1" ht="18.75" hidden="1" customHeight="1">
      <c r="A138" s="1689" t="s">
        <v>393</v>
      </c>
      <c r="B138" s="1689" t="s">
        <v>394</v>
      </c>
      <c r="C138" s="297"/>
      <c r="D138" s="6909"/>
      <c r="E138" s="6717"/>
      <c r="F138" s="6852" t="str">
        <f>INDEX(PT_DIFFERENTIATION_VTAR,MATCH(A138,PT_DIFFERENTIATION_VTAR_ID,0))</f>
        <v>Тариф на подключение (технологическое присоединение) к централизованной системе водоотведения</v>
      </c>
      <c r="G138" s="6881" t="str">
        <f>INDEX(PT_DIFFERENTIATION_NTAR,MATCH(B138,PT_DIFFERENTIATION_NTAR_ID,0))</f>
        <v/>
      </c>
      <c r="H138" s="1771"/>
      <c r="I138" s="1647"/>
      <c r="J138" s="1682"/>
      <c r="K138" s="1687"/>
      <c r="L138" s="1771" t="s">
        <v>424</v>
      </c>
      <c r="M138" s="268"/>
      <c r="N138" s="261"/>
      <c r="O138" s="1535"/>
      <c r="P138" s="1535"/>
    </row>
    <row r="139" spans="1:16" s="2045" customFormat="1" ht="18.75" hidden="1" customHeight="1">
      <c r="A139" s="1689"/>
      <c r="B139" s="1689"/>
      <c r="C139" s="297" t="s">
        <v>1184</v>
      </c>
      <c r="D139" s="6909"/>
      <c r="E139" s="6717"/>
      <c r="F139" s="6852"/>
      <c r="G139" s="6881"/>
      <c r="H139" s="1409"/>
      <c r="I139" s="572" t="s">
        <v>1183</v>
      </c>
      <c r="J139" s="496"/>
      <c r="K139" s="1409"/>
      <c r="L139" s="135"/>
      <c r="M139" s="268"/>
      <c r="N139" s="261"/>
      <c r="O139" s="1535"/>
      <c r="P139" s="1535"/>
    </row>
    <row r="140" spans="1:16" s="2045" customFormat="1" ht="0.75" customHeight="1">
      <c r="A140" s="1689"/>
      <c r="B140" s="1689"/>
      <c r="C140" s="297" t="s">
        <v>1191</v>
      </c>
      <c r="D140" s="6909"/>
      <c r="E140" s="6717"/>
      <c r="F140" s="6852"/>
      <c r="G140" s="334"/>
      <c r="H140" s="1409"/>
      <c r="I140" s="572"/>
      <c r="J140" s="496"/>
      <c r="K140" s="1409"/>
      <c r="L140" s="135"/>
      <c r="M140" s="268"/>
      <c r="N140" s="261"/>
      <c r="O140" s="1535"/>
      <c r="P140" s="1535"/>
    </row>
    <row r="141" spans="1:16" ht="18.75" customHeight="1">
      <c r="A141" s="1689"/>
      <c r="B141" s="1689"/>
      <c r="D141" s="305"/>
      <c r="E141" s="71" t="s">
        <v>90</v>
      </c>
      <c r="F141" s="690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6908"/>
      <c r="H141" s="6908"/>
      <c r="I141" s="6908"/>
      <c r="J141" s="6908"/>
      <c r="K141" s="6908"/>
      <c r="L141" s="6908"/>
      <c r="M141" s="216"/>
      <c r="N141" s="261"/>
    </row>
    <row r="142" spans="1:16" s="2045" customFormat="1" ht="60.75" hidden="1" customHeight="1">
      <c r="A142" s="1689" t="s">
        <v>215</v>
      </c>
      <c r="B142" s="1689" t="s">
        <v>216</v>
      </c>
      <c r="C142" s="297"/>
      <c r="D142" s="6909"/>
      <c r="E142" s="6717"/>
      <c r="F142" s="6852"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6881" t="str">
        <f>INDEX(PT_DIFFERENTIATION_NTAR,MATCH(B142,PT_DIFFERENTIATION_NTAR_ID,0))</f>
        <v/>
      </c>
      <c r="H142" s="1771"/>
      <c r="I142" s="1647"/>
      <c r="J142" s="1682"/>
      <c r="K142" s="1687"/>
      <c r="L142" s="1771" t="s">
        <v>424</v>
      </c>
      <c r="M142" s="66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61"/>
      <c r="O142" s="1535"/>
      <c r="P142" s="1535"/>
    </row>
    <row r="143" spans="1:16" s="2045" customFormat="1" ht="18.75" hidden="1" customHeight="1">
      <c r="A143" s="1689"/>
      <c r="B143" s="1689"/>
      <c r="C143" s="297" t="s">
        <v>1184</v>
      </c>
      <c r="D143" s="6909"/>
      <c r="E143" s="6717"/>
      <c r="F143" s="6852"/>
      <c r="G143" s="6881"/>
      <c r="H143" s="1409"/>
      <c r="I143" s="572" t="s">
        <v>1183</v>
      </c>
      <c r="J143" s="496"/>
      <c r="K143" s="1409"/>
      <c r="L143" s="135"/>
      <c r="M143" s="6677"/>
      <c r="N143" s="261"/>
      <c r="O143" s="1535"/>
      <c r="P143" s="1535"/>
    </row>
    <row r="144" spans="1:16" s="2045" customFormat="1" ht="0.75" hidden="1" customHeight="1">
      <c r="A144" s="1689"/>
      <c r="B144" s="1689"/>
      <c r="C144" s="297" t="s">
        <v>1191</v>
      </c>
      <c r="D144" s="6909"/>
      <c r="E144" s="6717"/>
      <c r="F144" s="6852"/>
      <c r="G144" s="334"/>
      <c r="H144" s="1409"/>
      <c r="I144" s="572"/>
      <c r="J144" s="496"/>
      <c r="K144" s="1409"/>
      <c r="L144" s="135"/>
      <c r="M144" s="6677"/>
      <c r="N144" s="261"/>
      <c r="O144" s="1535"/>
      <c r="P144" s="1535"/>
    </row>
    <row r="145" spans="1:16" s="2045" customFormat="1" ht="45" hidden="1" customHeight="1">
      <c r="A145" s="1689" t="s">
        <v>223</v>
      </c>
      <c r="B145" s="1689" t="s">
        <v>224</v>
      </c>
      <c r="C145" s="297"/>
      <c r="D145" s="6909"/>
      <c r="E145" s="6717"/>
      <c r="F145" s="6852"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6881" t="str">
        <f>INDEX(PT_DIFFERENTIATION_NTAR,MATCH(B145,PT_DIFFERENTIATION_NTAR_ID,0))</f>
        <v>Тариф на тепловую энергию (мощность), поставляемую потребителям</v>
      </c>
      <c r="H145" s="1771"/>
      <c r="I145" s="1647"/>
      <c r="J145" s="1682"/>
      <c r="K145" s="1687"/>
      <c r="L145" s="1771" t="s">
        <v>424</v>
      </c>
      <c r="M145" s="6678"/>
      <c r="N145" s="261"/>
      <c r="O145" s="1535"/>
      <c r="P145" s="1535"/>
    </row>
    <row r="146" spans="1:16" s="2045" customFormat="1" ht="18.75" hidden="1" customHeight="1">
      <c r="A146" s="1689"/>
      <c r="B146" s="1689"/>
      <c r="C146" s="297" t="s">
        <v>1184</v>
      </c>
      <c r="D146" s="6909"/>
      <c r="E146" s="6717"/>
      <c r="F146" s="6852"/>
      <c r="G146" s="6881"/>
      <c r="H146" s="1409"/>
      <c r="I146" s="572" t="s">
        <v>1183</v>
      </c>
      <c r="J146" s="496"/>
      <c r="K146" s="1409"/>
      <c r="L146" s="135"/>
      <c r="M146" s="1770"/>
      <c r="N146" s="261"/>
      <c r="O146" s="1535"/>
      <c r="P146" s="1535"/>
    </row>
    <row r="147" spans="1:16" s="2045" customFormat="1" ht="0.75" hidden="1" customHeight="1">
      <c r="A147" s="1689"/>
      <c r="B147" s="1689"/>
      <c r="C147" s="297" t="s">
        <v>1191</v>
      </c>
      <c r="D147" s="6909"/>
      <c r="E147" s="6717"/>
      <c r="F147" s="6852"/>
      <c r="G147" s="334"/>
      <c r="H147" s="1409"/>
      <c r="I147" s="572"/>
      <c r="J147" s="496"/>
      <c r="K147" s="1409"/>
      <c r="L147" s="135"/>
      <c r="M147" s="268"/>
      <c r="N147" s="261"/>
      <c r="O147" s="1535"/>
      <c r="P147" s="1535"/>
    </row>
    <row r="148" spans="1:16" s="2045" customFormat="1" ht="45" hidden="1" customHeight="1">
      <c r="A148" s="1689" t="s">
        <v>277</v>
      </c>
      <c r="B148" s="1689" t="s">
        <v>278</v>
      </c>
      <c r="C148" s="297"/>
      <c r="D148" s="6909"/>
      <c r="E148" s="6717"/>
      <c r="F148" s="6852"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6881" t="str">
        <f>INDEX(PT_DIFFERENTIATION_NTAR,MATCH(B148,PT_DIFFERENTIATION_NTAR_ID,0))</f>
        <v>Тариф на теплоноситель, поставляемый потребителям</v>
      </c>
      <c r="H148" s="1771"/>
      <c r="I148" s="1647"/>
      <c r="J148" s="1682"/>
      <c r="K148" s="1687"/>
      <c r="L148" s="1771" t="s">
        <v>424</v>
      </c>
      <c r="M148" s="268"/>
      <c r="N148" s="261"/>
      <c r="O148" s="1535"/>
      <c r="P148" s="1535"/>
    </row>
    <row r="149" spans="1:16" s="2045" customFormat="1" ht="18.75" hidden="1" customHeight="1">
      <c r="A149" s="1689"/>
      <c r="B149" s="1689"/>
      <c r="C149" s="297" t="s">
        <v>1184</v>
      </c>
      <c r="D149" s="6909"/>
      <c r="E149" s="6717"/>
      <c r="F149" s="6852"/>
      <c r="G149" s="6881"/>
      <c r="H149" s="1409"/>
      <c r="I149" s="572" t="s">
        <v>1183</v>
      </c>
      <c r="J149" s="496"/>
      <c r="K149" s="1409"/>
      <c r="L149" s="135"/>
      <c r="M149" s="268"/>
      <c r="N149" s="261"/>
      <c r="O149" s="1535"/>
      <c r="P149" s="1535"/>
    </row>
    <row r="150" spans="1:16" s="2045" customFormat="1" ht="0.75" hidden="1" customHeight="1">
      <c r="A150" s="1689"/>
      <c r="B150" s="1689"/>
      <c r="C150" s="297" t="s">
        <v>1191</v>
      </c>
      <c r="D150" s="6909"/>
      <c r="E150" s="6717"/>
      <c r="F150" s="6852"/>
      <c r="G150" s="334"/>
      <c r="H150" s="1409"/>
      <c r="I150" s="572"/>
      <c r="J150" s="496"/>
      <c r="K150" s="1409"/>
      <c r="L150" s="135"/>
      <c r="M150" s="268"/>
      <c r="N150" s="261"/>
      <c r="O150" s="1535"/>
      <c r="P150" s="1535"/>
    </row>
    <row r="151" spans="1:16" s="2045" customFormat="1" ht="45" hidden="1" customHeight="1">
      <c r="A151" s="1689" t="s">
        <v>294</v>
      </c>
      <c r="B151" s="1689" t="s">
        <v>295</v>
      </c>
      <c r="C151" s="297"/>
      <c r="D151" s="6909"/>
      <c r="E151" s="6717"/>
      <c r="F151" s="6852"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6881" t="str">
        <f>INDEX(PT_DIFFERENTIATION_NTAR,MATCH(B151,PT_DIFFERENTIATION_NTAR_ID,0))</f>
        <v>Тариф на горячую воду, поставляемую потребителям в открытой системе теплоснабжения (горячее водоснабжение)</v>
      </c>
      <c r="H151" s="1771"/>
      <c r="I151" s="1647"/>
      <c r="J151" s="1682"/>
      <c r="K151" s="1687"/>
      <c r="L151" s="1771" t="s">
        <v>424</v>
      </c>
      <c r="M151" s="268"/>
      <c r="N151" s="261"/>
      <c r="O151" s="1535"/>
      <c r="P151" s="1535"/>
    </row>
    <row r="152" spans="1:16" s="2045" customFormat="1" ht="18.75" hidden="1" customHeight="1">
      <c r="A152" s="1689"/>
      <c r="B152" s="1689"/>
      <c r="C152" s="297" t="s">
        <v>1184</v>
      </c>
      <c r="D152" s="6909"/>
      <c r="E152" s="6717"/>
      <c r="F152" s="6852"/>
      <c r="G152" s="6881"/>
      <c r="H152" s="1409"/>
      <c r="I152" s="572" t="s">
        <v>1183</v>
      </c>
      <c r="J152" s="496"/>
      <c r="K152" s="1409"/>
      <c r="L152" s="135"/>
      <c r="M152" s="268"/>
      <c r="N152" s="261"/>
      <c r="O152" s="1535"/>
      <c r="P152" s="1535"/>
    </row>
    <row r="153" spans="1:16" s="2045" customFormat="1" ht="0.75" hidden="1" customHeight="1">
      <c r="A153" s="1689"/>
      <c r="B153" s="1689"/>
      <c r="C153" s="297" t="s">
        <v>1191</v>
      </c>
      <c r="D153" s="6909"/>
      <c r="E153" s="6717"/>
      <c r="F153" s="6852"/>
      <c r="G153" s="334"/>
      <c r="H153" s="1409"/>
      <c r="I153" s="572"/>
      <c r="J153" s="496"/>
      <c r="K153" s="1409"/>
      <c r="L153" s="135"/>
      <c r="M153" s="268"/>
      <c r="N153" s="261"/>
      <c r="O153" s="1535"/>
      <c r="P153" s="1535"/>
    </row>
    <row r="154" spans="1:16" s="2045" customFormat="1" ht="18.75" hidden="1" customHeight="1">
      <c r="A154" s="1689" t="s">
        <v>309</v>
      </c>
      <c r="B154" s="1689" t="s">
        <v>310</v>
      </c>
      <c r="C154" s="297"/>
      <c r="D154" s="6909"/>
      <c r="E154" s="6717"/>
      <c r="F154" s="6852" t="str">
        <f>INDEX(PT_DIFFERENTIATION_VTAR,MATCH(A154,PT_DIFFERENTIATION_VTAR_ID,0))</f>
        <v>Тарифы на услуги по передаче тепловой энергии</v>
      </c>
      <c r="G154" s="6881" t="str">
        <f>INDEX(PT_DIFFERENTIATION_NTAR,MATCH(B154,PT_DIFFERENTIATION_NTAR_ID,0))</f>
        <v/>
      </c>
      <c r="H154" s="1771"/>
      <c r="I154" s="1647"/>
      <c r="J154" s="1682"/>
      <c r="K154" s="1687"/>
      <c r="L154" s="1771" t="s">
        <v>424</v>
      </c>
      <c r="M154" s="268"/>
      <c r="N154" s="261"/>
      <c r="O154" s="1535"/>
      <c r="P154" s="1535"/>
    </row>
    <row r="155" spans="1:16" s="2045" customFormat="1" ht="18.75" hidden="1" customHeight="1">
      <c r="A155" s="1689"/>
      <c r="B155" s="1689"/>
      <c r="C155" s="297" t="s">
        <v>1184</v>
      </c>
      <c r="D155" s="6909"/>
      <c r="E155" s="6717"/>
      <c r="F155" s="6852"/>
      <c r="G155" s="6881"/>
      <c r="H155" s="1409"/>
      <c r="I155" s="572" t="s">
        <v>1183</v>
      </c>
      <c r="J155" s="496"/>
      <c r="K155" s="1409"/>
      <c r="L155" s="135"/>
      <c r="M155" s="268"/>
      <c r="N155" s="261"/>
      <c r="O155" s="1535"/>
      <c r="P155" s="1535"/>
    </row>
    <row r="156" spans="1:16" s="2045" customFormat="1" ht="0.75" hidden="1" customHeight="1">
      <c r="A156" s="1689"/>
      <c r="B156" s="1689"/>
      <c r="C156" s="297" t="s">
        <v>1191</v>
      </c>
      <c r="D156" s="6909"/>
      <c r="E156" s="6717"/>
      <c r="F156" s="6852"/>
      <c r="G156" s="334"/>
      <c r="H156" s="1409"/>
      <c r="I156" s="572"/>
      <c r="J156" s="496"/>
      <c r="K156" s="1409"/>
      <c r="L156" s="135"/>
      <c r="M156" s="268"/>
      <c r="N156" s="261"/>
      <c r="O156" s="1535"/>
      <c r="P156" s="1535"/>
    </row>
    <row r="157" spans="1:16" s="2045" customFormat="1" ht="18.75" hidden="1" customHeight="1">
      <c r="A157" s="1689" t="s">
        <v>315</v>
      </c>
      <c r="B157" s="1689" t="s">
        <v>316</v>
      </c>
      <c r="C157" s="297"/>
      <c r="D157" s="6909"/>
      <c r="E157" s="6717"/>
      <c r="F157" s="6852" t="str">
        <f>INDEX(PT_DIFFERENTIATION_VTAR,MATCH(A157,PT_DIFFERENTIATION_VTAR_ID,0))</f>
        <v>Тарифы на услуги по передаче теплоносителя</v>
      </c>
      <c r="G157" s="6881" t="str">
        <f>INDEX(PT_DIFFERENTIATION_NTAR,MATCH(B157,PT_DIFFERENTIATION_NTAR_ID,0))</f>
        <v/>
      </c>
      <c r="H157" s="1771"/>
      <c r="I157" s="1647"/>
      <c r="J157" s="1682"/>
      <c r="K157" s="1687"/>
      <c r="L157" s="1771" t="s">
        <v>424</v>
      </c>
      <c r="M157" s="268"/>
      <c r="N157" s="261"/>
      <c r="O157" s="1535"/>
      <c r="P157" s="1535"/>
    </row>
    <row r="158" spans="1:16" s="2045" customFormat="1" ht="18.75" hidden="1" customHeight="1">
      <c r="A158" s="1689"/>
      <c r="B158" s="1689"/>
      <c r="C158" s="297" t="s">
        <v>1184</v>
      </c>
      <c r="D158" s="6909"/>
      <c r="E158" s="6717"/>
      <c r="F158" s="6852"/>
      <c r="G158" s="6881"/>
      <c r="H158" s="1409"/>
      <c r="I158" s="572" t="s">
        <v>1183</v>
      </c>
      <c r="J158" s="496"/>
      <c r="K158" s="1409"/>
      <c r="L158" s="135"/>
      <c r="M158" s="268"/>
      <c r="N158" s="261"/>
      <c r="O158" s="1535"/>
      <c r="P158" s="1535"/>
    </row>
    <row r="159" spans="1:16" s="2045" customFormat="1" ht="0.75" hidden="1" customHeight="1">
      <c r="A159" s="1689"/>
      <c r="B159" s="1689"/>
      <c r="C159" s="297" t="s">
        <v>1191</v>
      </c>
      <c r="D159" s="6909"/>
      <c r="E159" s="6717"/>
      <c r="F159" s="6852"/>
      <c r="G159" s="334"/>
      <c r="H159" s="1409"/>
      <c r="I159" s="572"/>
      <c r="J159" s="496"/>
      <c r="K159" s="1409"/>
      <c r="L159" s="135"/>
      <c r="M159" s="268"/>
      <c r="N159" s="261"/>
      <c r="O159" s="1535"/>
      <c r="P159" s="1535"/>
    </row>
    <row r="160" spans="1:16" s="2045" customFormat="1" ht="18.75" hidden="1" customHeight="1">
      <c r="A160" s="1689" t="s">
        <v>321</v>
      </c>
      <c r="B160" s="1689" t="s">
        <v>322</v>
      </c>
      <c r="C160" s="297"/>
      <c r="D160" s="6909"/>
      <c r="E160" s="6717"/>
      <c r="F160" s="6852" t="str">
        <f>INDEX(PT_DIFFERENTIATION_VTAR,MATCH(A160,PT_DIFFERENTIATION_VTAR_ID,0))</f>
        <v>Плата за услуги по поддержанию резервной тепловой мощности при отсутствии потребления тепловой энергии</v>
      </c>
      <c r="G160" s="6881" t="str">
        <f>INDEX(PT_DIFFERENTIATION_NTAR,MATCH(B160,PT_DIFFERENTIATION_NTAR_ID,0))</f>
        <v/>
      </c>
      <c r="H160" s="1771"/>
      <c r="I160" s="1647"/>
      <c r="J160" s="1682"/>
      <c r="K160" s="1687"/>
      <c r="L160" s="1771" t="s">
        <v>424</v>
      </c>
      <c r="M160" s="268"/>
      <c r="N160" s="261"/>
      <c r="O160" s="1535"/>
      <c r="P160" s="1535"/>
    </row>
    <row r="161" spans="1:16" s="2045" customFormat="1" ht="18.75" hidden="1" customHeight="1">
      <c r="A161" s="1689"/>
      <c r="B161" s="1689"/>
      <c r="C161" s="297" t="s">
        <v>1184</v>
      </c>
      <c r="D161" s="6909"/>
      <c r="E161" s="6717"/>
      <c r="F161" s="6852"/>
      <c r="G161" s="6881"/>
      <c r="H161" s="1409"/>
      <c r="I161" s="572" t="s">
        <v>1183</v>
      </c>
      <c r="J161" s="496"/>
      <c r="K161" s="1409"/>
      <c r="L161" s="135"/>
      <c r="M161" s="268"/>
      <c r="N161" s="261"/>
      <c r="O161" s="1535"/>
      <c r="P161" s="1535"/>
    </row>
    <row r="162" spans="1:16" s="2045" customFormat="1" ht="0.75" hidden="1" customHeight="1">
      <c r="A162" s="1689"/>
      <c r="B162" s="1689"/>
      <c r="C162" s="297" t="s">
        <v>1191</v>
      </c>
      <c r="D162" s="6909"/>
      <c r="E162" s="6717"/>
      <c r="F162" s="6852"/>
      <c r="G162" s="334"/>
      <c r="H162" s="1409"/>
      <c r="I162" s="572"/>
      <c r="J162" s="496"/>
      <c r="K162" s="1409"/>
      <c r="L162" s="135"/>
      <c r="M162" s="268"/>
      <c r="N162" s="261"/>
      <c r="O162" s="1535"/>
      <c r="P162" s="1535"/>
    </row>
    <row r="163" spans="1:16" s="2045" customFormat="1" ht="18.75" hidden="1" customHeight="1">
      <c r="A163" s="1689" t="s">
        <v>329</v>
      </c>
      <c r="B163" s="1689" t="s">
        <v>330</v>
      </c>
      <c r="C163" s="297"/>
      <c r="D163" s="6909"/>
      <c r="E163" s="6717"/>
      <c r="F163" s="6852" t="str">
        <f>INDEX(PT_DIFFERENTIATION_VTAR,MATCH(A163,PT_DIFFERENTIATION_VTAR_ID,0))</f>
        <v>Плата за подключение (технологическое присоединение) к системе теплоснабжения</v>
      </c>
      <c r="G163" s="6881" t="str">
        <f>INDEX(PT_DIFFERENTIATION_NTAR,MATCH(B163,PT_DIFFERENTIATION_NTAR_ID,0))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H163" s="1771"/>
      <c r="I163" s="1647"/>
      <c r="J163" s="1682"/>
      <c r="K163" s="1687"/>
      <c r="L163" s="1771" t="s">
        <v>424</v>
      </c>
      <c r="M163" s="268"/>
      <c r="N163" s="261"/>
      <c r="O163" s="1535"/>
      <c r="P163" s="1535"/>
    </row>
    <row r="164" spans="1:16" s="2045" customFormat="1" ht="18.75" hidden="1" customHeight="1">
      <c r="A164" s="1689"/>
      <c r="B164" s="1689"/>
      <c r="C164" s="297" t="s">
        <v>1184</v>
      </c>
      <c r="D164" s="6909"/>
      <c r="E164" s="6717"/>
      <c r="F164" s="6852"/>
      <c r="G164" s="6881"/>
      <c r="H164" s="1409"/>
      <c r="I164" s="572" t="s">
        <v>1183</v>
      </c>
      <c r="J164" s="496"/>
      <c r="K164" s="1409"/>
      <c r="L164" s="135"/>
      <c r="M164" s="268"/>
      <c r="N164" s="261"/>
      <c r="O164" s="1535"/>
      <c r="P164" s="1535"/>
    </row>
    <row r="165" spans="1:16" s="2045" customFormat="1" ht="0.75" hidden="1" customHeight="1">
      <c r="A165" s="1689"/>
      <c r="B165" s="1689"/>
      <c r="C165" s="297" t="s">
        <v>1191</v>
      </c>
      <c r="D165" s="6909"/>
      <c r="E165" s="6717"/>
      <c r="F165" s="6852"/>
      <c r="G165" s="334"/>
      <c r="H165" s="1409"/>
      <c r="I165" s="572"/>
      <c r="J165" s="496"/>
      <c r="K165" s="1409"/>
      <c r="L165" s="135"/>
      <c r="M165" s="268"/>
      <c r="N165" s="261"/>
      <c r="O165" s="1535"/>
      <c r="P165" s="1535"/>
    </row>
    <row r="166" spans="1:16" s="2045" customFormat="1" ht="18.75" hidden="1" customHeight="1">
      <c r="A166" s="1689" t="s">
        <v>343</v>
      </c>
      <c r="B166" s="1689" t="s">
        <v>344</v>
      </c>
      <c r="C166" s="297"/>
      <c r="D166" s="6909"/>
      <c r="E166" s="6717"/>
      <c r="F166" s="6852" t="str">
        <f>INDEX(PT_DIFFERENTIATION_VTAR,MATCH(A166,PT_DIFFERENTIATION_VTAR_ID,0))</f>
        <v>Тариф на питьевую воду (питьевое водоснабжение)</v>
      </c>
      <c r="G166" s="6881" t="str">
        <f>INDEX(PT_DIFFERENTIATION_NTAR,MATCH(B166,PT_DIFFERENTIATION_NTAR_ID,0))</f>
        <v/>
      </c>
      <c r="H166" s="1771"/>
      <c r="I166" s="1647"/>
      <c r="J166" s="1682"/>
      <c r="K166" s="1687"/>
      <c r="L166" s="1771" t="s">
        <v>424</v>
      </c>
      <c r="M166" s="268"/>
      <c r="N166" s="261"/>
      <c r="O166" s="1535"/>
      <c r="P166" s="1535"/>
    </row>
    <row r="167" spans="1:16" s="2045" customFormat="1" ht="18.75" hidden="1" customHeight="1">
      <c r="A167" s="1689"/>
      <c r="B167" s="1689"/>
      <c r="C167" s="297" t="s">
        <v>1184</v>
      </c>
      <c r="D167" s="6909"/>
      <c r="E167" s="6717"/>
      <c r="F167" s="6852"/>
      <c r="G167" s="6881"/>
      <c r="H167" s="1409"/>
      <c r="I167" s="572" t="s">
        <v>1183</v>
      </c>
      <c r="J167" s="496"/>
      <c r="K167" s="1409"/>
      <c r="L167" s="135"/>
      <c r="M167" s="268"/>
      <c r="N167" s="261"/>
      <c r="O167" s="1535"/>
      <c r="P167" s="1535"/>
    </row>
    <row r="168" spans="1:16" s="2045" customFormat="1" ht="0.75" hidden="1" customHeight="1">
      <c r="A168" s="1689"/>
      <c r="B168" s="1689"/>
      <c r="C168" s="297" t="s">
        <v>1191</v>
      </c>
      <c r="D168" s="6909"/>
      <c r="E168" s="6717"/>
      <c r="F168" s="6852"/>
      <c r="G168" s="334"/>
      <c r="H168" s="1409"/>
      <c r="I168" s="572"/>
      <c r="J168" s="496"/>
      <c r="K168" s="1409"/>
      <c r="L168" s="135"/>
      <c r="M168" s="268"/>
      <c r="N168" s="261"/>
      <c r="O168" s="1535"/>
      <c r="P168" s="1535"/>
    </row>
    <row r="169" spans="1:16" s="2045" customFormat="1" ht="18.75" hidden="1" customHeight="1">
      <c r="A169" s="1689" t="s">
        <v>348</v>
      </c>
      <c r="B169" s="1689" t="s">
        <v>349</v>
      </c>
      <c r="C169" s="297"/>
      <c r="D169" s="6909"/>
      <c r="E169" s="6717"/>
      <c r="F169" s="6852" t="str">
        <f>INDEX(PT_DIFFERENTIATION_VTAR,MATCH(A169,PT_DIFFERENTIATION_VTAR_ID,0))</f>
        <v>Тариф на техническую воду</v>
      </c>
      <c r="G169" s="6881" t="str">
        <f>INDEX(PT_DIFFERENTIATION_NTAR,MATCH(B169,PT_DIFFERENTIATION_NTAR_ID,0))</f>
        <v/>
      </c>
      <c r="H169" s="1771"/>
      <c r="I169" s="1647"/>
      <c r="J169" s="1682"/>
      <c r="K169" s="1687"/>
      <c r="L169" s="1771" t="s">
        <v>424</v>
      </c>
      <c r="M169" s="268"/>
      <c r="N169" s="261"/>
      <c r="O169" s="1535"/>
      <c r="P169" s="1535"/>
    </row>
    <row r="170" spans="1:16" s="2045" customFormat="1" ht="18.75" hidden="1" customHeight="1">
      <c r="A170" s="1689"/>
      <c r="B170" s="1689"/>
      <c r="C170" s="297" t="s">
        <v>1184</v>
      </c>
      <c r="D170" s="6909"/>
      <c r="E170" s="6717"/>
      <c r="F170" s="6852"/>
      <c r="G170" s="6881"/>
      <c r="H170" s="1409"/>
      <c r="I170" s="572" t="s">
        <v>1183</v>
      </c>
      <c r="J170" s="496"/>
      <c r="K170" s="1409"/>
      <c r="L170" s="135"/>
      <c r="M170" s="268"/>
      <c r="N170" s="261"/>
      <c r="O170" s="1535"/>
      <c r="P170" s="1535"/>
    </row>
    <row r="171" spans="1:16" s="2045" customFormat="1" ht="0.75" hidden="1" customHeight="1">
      <c r="A171" s="1689"/>
      <c r="B171" s="1689"/>
      <c r="C171" s="297" t="s">
        <v>1191</v>
      </c>
      <c r="D171" s="6909"/>
      <c r="E171" s="6717"/>
      <c r="F171" s="6852"/>
      <c r="G171" s="334"/>
      <c r="H171" s="1409"/>
      <c r="I171" s="572"/>
      <c r="J171" s="496"/>
      <c r="K171" s="1409"/>
      <c r="L171" s="135"/>
      <c r="M171" s="268"/>
      <c r="N171" s="261"/>
      <c r="O171" s="1535"/>
      <c r="P171" s="1535"/>
    </row>
    <row r="172" spans="1:16" s="2045" customFormat="1" ht="18.75" hidden="1" customHeight="1">
      <c r="A172" s="1689" t="s">
        <v>353</v>
      </c>
      <c r="B172" s="1689" t="s">
        <v>354</v>
      </c>
      <c r="C172" s="297"/>
      <c r="D172" s="6909"/>
      <c r="E172" s="6717"/>
      <c r="F172" s="6852" t="str">
        <f>INDEX(PT_DIFFERENTIATION_VTAR,MATCH(A172,PT_DIFFERENTIATION_VTAR_ID,0))</f>
        <v>Тариф на транспортировку воды</v>
      </c>
      <c r="G172" s="6881" t="str">
        <f>INDEX(PT_DIFFERENTIATION_NTAR,MATCH(B172,PT_DIFFERENTIATION_NTAR_ID,0))</f>
        <v/>
      </c>
      <c r="H172" s="1771"/>
      <c r="I172" s="1647"/>
      <c r="J172" s="1682"/>
      <c r="K172" s="1687"/>
      <c r="L172" s="1771" t="s">
        <v>424</v>
      </c>
      <c r="M172" s="268"/>
      <c r="N172" s="261"/>
      <c r="O172" s="1535"/>
      <c r="P172" s="1535"/>
    </row>
    <row r="173" spans="1:16" s="2045" customFormat="1" ht="18.75" hidden="1" customHeight="1">
      <c r="A173" s="1689"/>
      <c r="B173" s="1689"/>
      <c r="C173" s="297" t="s">
        <v>1184</v>
      </c>
      <c r="D173" s="6909"/>
      <c r="E173" s="6717"/>
      <c r="F173" s="6852"/>
      <c r="G173" s="6881"/>
      <c r="H173" s="1409"/>
      <c r="I173" s="572" t="s">
        <v>1183</v>
      </c>
      <c r="J173" s="496"/>
      <c r="K173" s="1409"/>
      <c r="L173" s="135"/>
      <c r="M173" s="268"/>
      <c r="N173" s="261"/>
      <c r="O173" s="1535"/>
      <c r="P173" s="1535"/>
    </row>
    <row r="174" spans="1:16" s="2045" customFormat="1" ht="0.75" hidden="1" customHeight="1">
      <c r="A174" s="1689"/>
      <c r="B174" s="1689"/>
      <c r="C174" s="297" t="s">
        <v>1191</v>
      </c>
      <c r="D174" s="6909"/>
      <c r="E174" s="6717"/>
      <c r="F174" s="6852"/>
      <c r="G174" s="334"/>
      <c r="H174" s="1409"/>
      <c r="I174" s="572"/>
      <c r="J174" s="496"/>
      <c r="K174" s="1409"/>
      <c r="L174" s="135"/>
      <c r="M174" s="268"/>
      <c r="N174" s="261"/>
      <c r="O174" s="1535"/>
      <c r="P174" s="1535"/>
    </row>
    <row r="175" spans="1:16" s="2045" customFormat="1" ht="18.75" hidden="1" customHeight="1">
      <c r="A175" s="1689" t="s">
        <v>358</v>
      </c>
      <c r="B175" s="1689" t="s">
        <v>359</v>
      </c>
      <c r="C175" s="297"/>
      <c r="D175" s="6909"/>
      <c r="E175" s="6717"/>
      <c r="F175" s="6852" t="str">
        <f>INDEX(PT_DIFFERENTIATION_VTAR,MATCH(A175,PT_DIFFERENTIATION_VTAR_ID,0))</f>
        <v>Тариф на подвоз воды</v>
      </c>
      <c r="G175" s="6881" t="str">
        <f>INDEX(PT_DIFFERENTIATION_NTAR,MATCH(B175,PT_DIFFERENTIATION_NTAR_ID,0))</f>
        <v/>
      </c>
      <c r="H175" s="1771"/>
      <c r="I175" s="1647"/>
      <c r="J175" s="1682"/>
      <c r="K175" s="1687"/>
      <c r="L175" s="1771" t="s">
        <v>424</v>
      </c>
      <c r="M175" s="268"/>
      <c r="N175" s="261"/>
      <c r="O175" s="1535"/>
      <c r="P175" s="1535"/>
    </row>
    <row r="176" spans="1:16" s="2045" customFormat="1" ht="18.75" hidden="1" customHeight="1">
      <c r="A176" s="1689"/>
      <c r="B176" s="1689"/>
      <c r="C176" s="297" t="s">
        <v>1184</v>
      </c>
      <c r="D176" s="6909"/>
      <c r="E176" s="6717"/>
      <c r="F176" s="6852"/>
      <c r="G176" s="6881"/>
      <c r="H176" s="1409"/>
      <c r="I176" s="572" t="s">
        <v>1183</v>
      </c>
      <c r="J176" s="496"/>
      <c r="K176" s="1409"/>
      <c r="L176" s="135"/>
      <c r="M176" s="268"/>
      <c r="N176" s="261"/>
      <c r="O176" s="1535"/>
      <c r="P176" s="1535"/>
    </row>
    <row r="177" spans="1:16" s="2045" customFormat="1" ht="0.75" hidden="1" customHeight="1">
      <c r="A177" s="1689"/>
      <c r="B177" s="1689"/>
      <c r="C177" s="297" t="s">
        <v>1191</v>
      </c>
      <c r="D177" s="6909"/>
      <c r="E177" s="6717"/>
      <c r="F177" s="6852"/>
      <c r="G177" s="334"/>
      <c r="H177" s="1409"/>
      <c r="I177" s="572"/>
      <c r="J177" s="496"/>
      <c r="K177" s="1409"/>
      <c r="L177" s="135"/>
      <c r="M177" s="268"/>
      <c r="N177" s="261"/>
      <c r="O177" s="1535"/>
      <c r="P177" s="1535"/>
    </row>
    <row r="178" spans="1:16" s="2045" customFormat="1" ht="18.75" hidden="1" customHeight="1">
      <c r="A178" s="1689" t="s">
        <v>363</v>
      </c>
      <c r="B178" s="1689" t="s">
        <v>364</v>
      </c>
      <c r="C178" s="297"/>
      <c r="D178" s="6909"/>
      <c r="E178" s="6717"/>
      <c r="F178" s="6852"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6881" t="str">
        <f>INDEX(PT_DIFFERENTIATION_NTAR,MATCH(B178,PT_DIFFERENTIATION_NTAR_ID,0))</f>
        <v/>
      </c>
      <c r="H178" s="1771"/>
      <c r="I178" s="1647"/>
      <c r="J178" s="1682"/>
      <c r="K178" s="1687"/>
      <c r="L178" s="1771" t="s">
        <v>424</v>
      </c>
      <c r="M178" s="268"/>
      <c r="N178" s="261"/>
      <c r="O178" s="1535"/>
      <c r="P178" s="1535"/>
    </row>
    <row r="179" spans="1:16" s="2045" customFormat="1" ht="18.75" hidden="1" customHeight="1">
      <c r="A179" s="1689"/>
      <c r="B179" s="1689"/>
      <c r="C179" s="297" t="s">
        <v>1184</v>
      </c>
      <c r="D179" s="6909"/>
      <c r="E179" s="6717"/>
      <c r="F179" s="6852"/>
      <c r="G179" s="6881"/>
      <c r="H179" s="1409"/>
      <c r="I179" s="572" t="s">
        <v>1183</v>
      </c>
      <c r="J179" s="496"/>
      <c r="K179" s="1409"/>
      <c r="L179" s="135"/>
      <c r="M179" s="268"/>
      <c r="N179" s="261"/>
      <c r="O179" s="1535"/>
      <c r="P179" s="1535"/>
    </row>
    <row r="180" spans="1:16" s="2045" customFormat="1" ht="0.75" hidden="1" customHeight="1">
      <c r="A180" s="1689"/>
      <c r="B180" s="1689"/>
      <c r="C180" s="297" t="s">
        <v>1191</v>
      </c>
      <c r="D180" s="6909"/>
      <c r="E180" s="6717"/>
      <c r="F180" s="6852"/>
      <c r="G180" s="334"/>
      <c r="H180" s="1409"/>
      <c r="I180" s="572"/>
      <c r="J180" s="496"/>
      <c r="K180" s="1409"/>
      <c r="L180" s="135"/>
      <c r="M180" s="268"/>
      <c r="N180" s="261"/>
      <c r="O180" s="1535"/>
      <c r="P180" s="1535"/>
    </row>
    <row r="181" spans="1:16" s="2045" customFormat="1" ht="18.75" hidden="1" customHeight="1">
      <c r="A181" s="1689" t="s">
        <v>368</v>
      </c>
      <c r="B181" s="1689" t="s">
        <v>369</v>
      </c>
      <c r="C181" s="297"/>
      <c r="D181" s="6909"/>
      <c r="E181" s="6717"/>
      <c r="F181" s="6852" t="str">
        <f>INDEX(PT_DIFFERENTIATION_VTAR,MATCH(A181,PT_DIFFERENTIATION_VTAR_ID,0))</f>
        <v>Тариф на горячую воду (горячее водоснабжение)</v>
      </c>
      <c r="G181" s="6881" t="str">
        <f>INDEX(PT_DIFFERENTIATION_NTAR,MATCH(B181,PT_DIFFERENTIATION_NTAR_ID,0))</f>
        <v/>
      </c>
      <c r="H181" s="1771"/>
      <c r="I181" s="1647"/>
      <c r="J181" s="1682"/>
      <c r="K181" s="1687"/>
      <c r="L181" s="1771" t="s">
        <v>424</v>
      </c>
      <c r="M181" s="268"/>
      <c r="N181" s="261"/>
      <c r="O181" s="1535"/>
      <c r="P181" s="1535"/>
    </row>
    <row r="182" spans="1:16" s="2045" customFormat="1" ht="18.75" hidden="1" customHeight="1">
      <c r="A182" s="1689"/>
      <c r="B182" s="1689"/>
      <c r="C182" s="297" t="s">
        <v>1184</v>
      </c>
      <c r="D182" s="6909"/>
      <c r="E182" s="6717"/>
      <c r="F182" s="6852"/>
      <c r="G182" s="6881"/>
      <c r="H182" s="1409"/>
      <c r="I182" s="572" t="s">
        <v>1183</v>
      </c>
      <c r="J182" s="496"/>
      <c r="K182" s="1409"/>
      <c r="L182" s="135"/>
      <c r="M182" s="268"/>
      <c r="N182" s="261"/>
      <c r="O182" s="1535"/>
      <c r="P182" s="1535"/>
    </row>
    <row r="183" spans="1:16" s="2045" customFormat="1" ht="0.75" hidden="1" customHeight="1">
      <c r="A183" s="1689"/>
      <c r="B183" s="1689"/>
      <c r="C183" s="297" t="s">
        <v>1191</v>
      </c>
      <c r="D183" s="6909"/>
      <c r="E183" s="6717"/>
      <c r="F183" s="6852"/>
      <c r="G183" s="334"/>
      <c r="H183" s="1409"/>
      <c r="I183" s="572"/>
      <c r="J183" s="496"/>
      <c r="K183" s="1409"/>
      <c r="L183" s="135"/>
      <c r="M183" s="268"/>
      <c r="N183" s="261"/>
      <c r="O183" s="1535"/>
      <c r="P183" s="1535"/>
    </row>
    <row r="184" spans="1:16" s="2045" customFormat="1" ht="18.75" hidden="1" customHeight="1">
      <c r="A184" s="1689" t="s">
        <v>373</v>
      </c>
      <c r="B184" s="1689" t="s">
        <v>374</v>
      </c>
      <c r="C184" s="297"/>
      <c r="D184" s="6909"/>
      <c r="E184" s="6717"/>
      <c r="F184" s="6852" t="str">
        <f>INDEX(PT_DIFFERENTIATION_VTAR,MATCH(A184,PT_DIFFERENTIATION_VTAR_ID,0))</f>
        <v>Тариф на транспортировку горячей воды</v>
      </c>
      <c r="G184" s="6881" t="str">
        <f>INDEX(PT_DIFFERENTIATION_NTAR,MATCH(B184,PT_DIFFERENTIATION_NTAR_ID,0))</f>
        <v/>
      </c>
      <c r="H184" s="1771"/>
      <c r="I184" s="1647"/>
      <c r="J184" s="1682"/>
      <c r="K184" s="1687"/>
      <c r="L184" s="1771" t="s">
        <v>424</v>
      </c>
      <c r="M184" s="268"/>
      <c r="N184" s="261"/>
      <c r="O184" s="1535"/>
      <c r="P184" s="1535"/>
    </row>
    <row r="185" spans="1:16" s="2045" customFormat="1" ht="18.75" hidden="1" customHeight="1">
      <c r="A185" s="1689"/>
      <c r="B185" s="1689"/>
      <c r="C185" s="297" t="s">
        <v>1184</v>
      </c>
      <c r="D185" s="6909"/>
      <c r="E185" s="6717"/>
      <c r="F185" s="6852"/>
      <c r="G185" s="6881"/>
      <c r="H185" s="1409"/>
      <c r="I185" s="572" t="s">
        <v>1183</v>
      </c>
      <c r="J185" s="496"/>
      <c r="K185" s="1409"/>
      <c r="L185" s="135"/>
      <c r="M185" s="268"/>
      <c r="N185" s="261"/>
      <c r="O185" s="1535"/>
      <c r="P185" s="1535"/>
    </row>
    <row r="186" spans="1:16" s="2045" customFormat="1" ht="0.75" hidden="1" customHeight="1">
      <c r="A186" s="1689"/>
      <c r="B186" s="1689"/>
      <c r="C186" s="297" t="s">
        <v>1191</v>
      </c>
      <c r="D186" s="6909"/>
      <c r="E186" s="6717"/>
      <c r="F186" s="6852"/>
      <c r="G186" s="334"/>
      <c r="H186" s="1409"/>
      <c r="I186" s="572"/>
      <c r="J186" s="496"/>
      <c r="K186" s="1409"/>
      <c r="L186" s="135"/>
      <c r="M186" s="268"/>
      <c r="N186" s="261"/>
      <c r="O186" s="1535"/>
      <c r="P186" s="1535"/>
    </row>
    <row r="187" spans="1:16" s="2045" customFormat="1" ht="18.75" hidden="1" customHeight="1">
      <c r="A187" s="1689" t="s">
        <v>378</v>
      </c>
      <c r="B187" s="1689" t="s">
        <v>379</v>
      </c>
      <c r="C187" s="297"/>
      <c r="D187" s="6909"/>
      <c r="E187" s="6717"/>
      <c r="F187" s="6852" t="str">
        <f>INDEX(PT_DIFFERENTIATION_VTAR,MATCH(A187,PT_DIFFERENTIATION_VTAR_ID,0))</f>
        <v>Тариф на подключение (технологическое присоединение) к централизованной системе горячего водоснабжения</v>
      </c>
      <c r="G187" s="6881" t="str">
        <f>INDEX(PT_DIFFERENTIATION_NTAR,MATCH(B187,PT_DIFFERENTIATION_NTAR_ID,0))</f>
        <v/>
      </c>
      <c r="H187" s="1771"/>
      <c r="I187" s="1647"/>
      <c r="J187" s="1682"/>
      <c r="K187" s="1687"/>
      <c r="L187" s="1771" t="s">
        <v>424</v>
      </c>
      <c r="M187" s="268"/>
      <c r="N187" s="261"/>
      <c r="O187" s="1535"/>
      <c r="P187" s="1535"/>
    </row>
    <row r="188" spans="1:16" s="2045" customFormat="1" ht="18.75" hidden="1" customHeight="1">
      <c r="A188" s="1689"/>
      <c r="B188" s="1689"/>
      <c r="C188" s="297" t="s">
        <v>1184</v>
      </c>
      <c r="D188" s="6909"/>
      <c r="E188" s="6717"/>
      <c r="F188" s="6852"/>
      <c r="G188" s="6881"/>
      <c r="H188" s="1409"/>
      <c r="I188" s="572" t="s">
        <v>1183</v>
      </c>
      <c r="J188" s="496"/>
      <c r="K188" s="1409"/>
      <c r="L188" s="135"/>
      <c r="M188" s="268"/>
      <c r="N188" s="261"/>
      <c r="O188" s="1535"/>
      <c r="P188" s="1535"/>
    </row>
    <row r="189" spans="1:16" s="2045" customFormat="1" ht="0.75" hidden="1" customHeight="1">
      <c r="A189" s="1689"/>
      <c r="B189" s="1689"/>
      <c r="C189" s="297" t="s">
        <v>1191</v>
      </c>
      <c r="D189" s="6909"/>
      <c r="E189" s="6717"/>
      <c r="F189" s="6852"/>
      <c r="G189" s="334"/>
      <c r="H189" s="1409"/>
      <c r="I189" s="572"/>
      <c r="J189" s="496"/>
      <c r="K189" s="1409"/>
      <c r="L189" s="135"/>
      <c r="M189" s="268"/>
      <c r="N189" s="261"/>
      <c r="O189" s="1535"/>
      <c r="P189" s="1535"/>
    </row>
    <row r="190" spans="1:16" s="2045" customFormat="1" ht="18.75" hidden="1" customHeight="1">
      <c r="A190" s="1689" t="s">
        <v>383</v>
      </c>
      <c r="B190" s="1689" t="s">
        <v>384</v>
      </c>
      <c r="C190" s="297"/>
      <c r="D190" s="6909"/>
      <c r="E190" s="6717"/>
      <c r="F190" s="6852" t="str">
        <f>INDEX(PT_DIFFERENTIATION_VTAR,MATCH(A190,PT_DIFFERENTIATION_VTAR_ID,0))</f>
        <v>Тариф на водоотведение</v>
      </c>
      <c r="G190" s="6881" t="str">
        <f>INDEX(PT_DIFFERENTIATION_NTAR,MATCH(B190,PT_DIFFERENTIATION_NTAR_ID,0))</f>
        <v/>
      </c>
      <c r="H190" s="1771"/>
      <c r="I190" s="1647"/>
      <c r="J190" s="1682"/>
      <c r="K190" s="1687"/>
      <c r="L190" s="1771" t="s">
        <v>424</v>
      </c>
      <c r="M190" s="268"/>
      <c r="N190" s="261"/>
      <c r="O190" s="1535"/>
      <c r="P190" s="1535"/>
    </row>
    <row r="191" spans="1:16" s="2045" customFormat="1" ht="18.75" hidden="1" customHeight="1">
      <c r="A191" s="1689"/>
      <c r="B191" s="1689"/>
      <c r="C191" s="297" t="s">
        <v>1184</v>
      </c>
      <c r="D191" s="6909"/>
      <c r="E191" s="6717"/>
      <c r="F191" s="6852"/>
      <c r="G191" s="6881"/>
      <c r="H191" s="1409"/>
      <c r="I191" s="572" t="s">
        <v>1183</v>
      </c>
      <c r="J191" s="496"/>
      <c r="K191" s="1409"/>
      <c r="L191" s="135"/>
      <c r="M191" s="268"/>
      <c r="N191" s="261"/>
      <c r="O191" s="1535"/>
      <c r="P191" s="1535"/>
    </row>
    <row r="192" spans="1:16" s="2045" customFormat="1" ht="0.75" hidden="1" customHeight="1">
      <c r="A192" s="1689"/>
      <c r="B192" s="1689"/>
      <c r="C192" s="297" t="s">
        <v>1191</v>
      </c>
      <c r="D192" s="6909"/>
      <c r="E192" s="6717"/>
      <c r="F192" s="6852"/>
      <c r="G192" s="334"/>
      <c r="H192" s="1409"/>
      <c r="I192" s="572"/>
      <c r="J192" s="496"/>
      <c r="K192" s="1409"/>
      <c r="L192" s="135"/>
      <c r="M192" s="268"/>
      <c r="N192" s="261"/>
      <c r="O192" s="1535"/>
      <c r="P192" s="1535"/>
    </row>
    <row r="193" spans="1:16" s="2045" customFormat="1" ht="18.75" hidden="1" customHeight="1">
      <c r="A193" s="1689" t="s">
        <v>388</v>
      </c>
      <c r="B193" s="1689" t="s">
        <v>389</v>
      </c>
      <c r="C193" s="297"/>
      <c r="D193" s="6909"/>
      <c r="E193" s="6717"/>
      <c r="F193" s="6852" t="str">
        <f>INDEX(PT_DIFFERENTIATION_VTAR,MATCH(A193,PT_DIFFERENTIATION_VTAR_ID,0))</f>
        <v>Тариф на транспортировку сточных вод</v>
      </c>
      <c r="G193" s="6881" t="str">
        <f>INDEX(PT_DIFFERENTIATION_NTAR,MATCH(B193,PT_DIFFERENTIATION_NTAR_ID,0))</f>
        <v/>
      </c>
      <c r="H193" s="1771"/>
      <c r="I193" s="1647"/>
      <c r="J193" s="1682"/>
      <c r="K193" s="1687"/>
      <c r="L193" s="1771" t="s">
        <v>424</v>
      </c>
      <c r="M193" s="268"/>
      <c r="N193" s="261"/>
      <c r="O193" s="1535"/>
      <c r="P193" s="1535"/>
    </row>
    <row r="194" spans="1:16" s="2045" customFormat="1" ht="18.75" hidden="1" customHeight="1">
      <c r="A194" s="1689"/>
      <c r="B194" s="1689"/>
      <c r="C194" s="297" t="s">
        <v>1184</v>
      </c>
      <c r="D194" s="6909"/>
      <c r="E194" s="6717"/>
      <c r="F194" s="6852"/>
      <c r="G194" s="6881"/>
      <c r="H194" s="1409"/>
      <c r="I194" s="572" t="s">
        <v>1183</v>
      </c>
      <c r="J194" s="496"/>
      <c r="K194" s="1409"/>
      <c r="L194" s="135"/>
      <c r="M194" s="268"/>
      <c r="N194" s="261"/>
      <c r="O194" s="1535"/>
      <c r="P194" s="1535"/>
    </row>
    <row r="195" spans="1:16" s="2045" customFormat="1" ht="0.75" hidden="1" customHeight="1">
      <c r="A195" s="1689"/>
      <c r="B195" s="1689"/>
      <c r="C195" s="297" t="s">
        <v>1191</v>
      </c>
      <c r="D195" s="6909"/>
      <c r="E195" s="6717"/>
      <c r="F195" s="6852"/>
      <c r="G195" s="334"/>
      <c r="H195" s="1409"/>
      <c r="I195" s="572"/>
      <c r="J195" s="496"/>
      <c r="K195" s="1409"/>
      <c r="L195" s="135"/>
      <c r="M195" s="268"/>
      <c r="N195" s="261"/>
      <c r="O195" s="1535"/>
      <c r="P195" s="1535"/>
    </row>
    <row r="196" spans="1:16" s="2045" customFormat="1" ht="18.75" hidden="1" customHeight="1">
      <c r="A196" s="1689" t="s">
        <v>393</v>
      </c>
      <c r="B196" s="1689" t="s">
        <v>394</v>
      </c>
      <c r="C196" s="297"/>
      <c r="D196" s="6909"/>
      <c r="E196" s="6717"/>
      <c r="F196" s="6852" t="str">
        <f>INDEX(PT_DIFFERENTIATION_VTAR,MATCH(A196,PT_DIFFERENTIATION_VTAR_ID,0))</f>
        <v>Тариф на подключение (технологическое присоединение) к централизованной системе водоотведения</v>
      </c>
      <c r="G196" s="6881" t="str">
        <f>INDEX(PT_DIFFERENTIATION_NTAR,MATCH(B196,PT_DIFFERENTIATION_NTAR_ID,0))</f>
        <v/>
      </c>
      <c r="H196" s="1771"/>
      <c r="I196" s="1647"/>
      <c r="J196" s="1682"/>
      <c r="K196" s="1687"/>
      <c r="L196" s="1771" t="s">
        <v>424</v>
      </c>
      <c r="M196" s="268"/>
      <c r="N196" s="261"/>
      <c r="O196" s="1535"/>
      <c r="P196" s="1535"/>
    </row>
    <row r="197" spans="1:16" s="2045" customFormat="1" ht="18.75" hidden="1" customHeight="1">
      <c r="A197" s="1689"/>
      <c r="B197" s="1689"/>
      <c r="C197" s="297" t="s">
        <v>1184</v>
      </c>
      <c r="D197" s="6909"/>
      <c r="E197" s="6717"/>
      <c r="F197" s="6852"/>
      <c r="G197" s="6881"/>
      <c r="H197" s="1409"/>
      <c r="I197" s="572" t="s">
        <v>1183</v>
      </c>
      <c r="J197" s="496"/>
      <c r="K197" s="1409"/>
      <c r="L197" s="135"/>
      <c r="M197" s="268"/>
      <c r="N197" s="261"/>
      <c r="O197" s="1535"/>
      <c r="P197" s="1535"/>
    </row>
    <row r="198" spans="1:16" s="2045" customFormat="1" ht="0.75" customHeight="1">
      <c r="A198" s="1689"/>
      <c r="B198" s="1689"/>
      <c r="C198" s="297" t="s">
        <v>1191</v>
      </c>
      <c r="D198" s="6909"/>
      <c r="E198" s="6717"/>
      <c r="F198" s="6852"/>
      <c r="G198" s="334"/>
      <c r="H198" s="1409"/>
      <c r="I198" s="572"/>
      <c r="J198" s="496"/>
      <c r="K198" s="1409"/>
      <c r="L198" s="135"/>
      <c r="M198" s="268"/>
      <c r="N198" s="261"/>
      <c r="O198" s="1535"/>
      <c r="P198" s="1535"/>
    </row>
    <row r="199" spans="1:16" ht="26.25" customHeight="1">
      <c r="A199" s="1689"/>
      <c r="B199" s="1689"/>
      <c r="D199" s="305"/>
      <c r="E199" s="71" t="s">
        <v>115</v>
      </c>
      <c r="F199" s="690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6908"/>
      <c r="H199" s="6908"/>
      <c r="I199" s="6908"/>
      <c r="J199" s="6908"/>
      <c r="K199" s="6908"/>
      <c r="L199" s="6908"/>
      <c r="M199" s="216"/>
      <c r="N199" s="261"/>
    </row>
    <row r="200" spans="1:16" s="2045" customFormat="1" ht="60.75" hidden="1" customHeight="1">
      <c r="A200" s="1689" t="s">
        <v>215</v>
      </c>
      <c r="B200" s="1689" t="s">
        <v>216</v>
      </c>
      <c r="C200" s="297"/>
      <c r="D200" s="6909"/>
      <c r="E200" s="6717"/>
      <c r="F200" s="6852"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6881" t="str">
        <f>INDEX(PT_DIFFERENTIATION_NTAR,MATCH(B200,PT_DIFFERENTIATION_NTAR_ID,0))</f>
        <v/>
      </c>
      <c r="H200" s="1771"/>
      <c r="I200" s="1647"/>
      <c r="J200" s="1682"/>
      <c r="K200" s="1687"/>
      <c r="L200" s="1771" t="s">
        <v>424</v>
      </c>
      <c r="M200" s="66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61"/>
      <c r="O200" s="1535"/>
      <c r="P200" s="1535"/>
    </row>
    <row r="201" spans="1:16" s="2045" customFormat="1" ht="18.75" hidden="1" customHeight="1">
      <c r="A201" s="1689"/>
      <c r="B201" s="1689"/>
      <c r="C201" s="297" t="s">
        <v>1184</v>
      </c>
      <c r="D201" s="6909"/>
      <c r="E201" s="6717"/>
      <c r="F201" s="6852"/>
      <c r="G201" s="6881"/>
      <c r="H201" s="1409"/>
      <c r="I201" s="572" t="s">
        <v>1183</v>
      </c>
      <c r="J201" s="496"/>
      <c r="K201" s="1409"/>
      <c r="L201" s="135"/>
      <c r="M201" s="6677"/>
      <c r="N201" s="261"/>
      <c r="O201" s="1535"/>
      <c r="P201" s="1535"/>
    </row>
    <row r="202" spans="1:16" s="2045" customFormat="1" ht="0.75" hidden="1" customHeight="1">
      <c r="A202" s="1689"/>
      <c r="B202" s="1689"/>
      <c r="C202" s="297" t="s">
        <v>1191</v>
      </c>
      <c r="D202" s="6909"/>
      <c r="E202" s="6717"/>
      <c r="F202" s="6852"/>
      <c r="G202" s="334"/>
      <c r="H202" s="1409"/>
      <c r="I202" s="572"/>
      <c r="J202" s="496"/>
      <c r="K202" s="1409"/>
      <c r="L202" s="135"/>
      <c r="M202" s="6677"/>
      <c r="N202" s="261"/>
      <c r="O202" s="1535"/>
      <c r="P202" s="1535"/>
    </row>
    <row r="203" spans="1:16" s="2045" customFormat="1" ht="45" hidden="1" customHeight="1">
      <c r="A203" s="1689" t="s">
        <v>223</v>
      </c>
      <c r="B203" s="1689" t="s">
        <v>224</v>
      </c>
      <c r="C203" s="297"/>
      <c r="D203" s="6909"/>
      <c r="E203" s="6717"/>
      <c r="F203" s="6852"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6881" t="str">
        <f>INDEX(PT_DIFFERENTIATION_NTAR,MATCH(B203,PT_DIFFERENTIATION_NTAR_ID,0))</f>
        <v>Тариф на тепловую энергию (мощность), поставляемую потребителям</v>
      </c>
      <c r="H203" s="1771"/>
      <c r="I203" s="1647"/>
      <c r="J203" s="1682"/>
      <c r="K203" s="1687"/>
      <c r="L203" s="1771" t="s">
        <v>424</v>
      </c>
      <c r="M203" s="6678"/>
      <c r="N203" s="261"/>
      <c r="O203" s="1535"/>
      <c r="P203" s="1535"/>
    </row>
    <row r="204" spans="1:16" s="2045" customFormat="1" ht="18.75" hidden="1" customHeight="1">
      <c r="A204" s="1689"/>
      <c r="B204" s="1689"/>
      <c r="C204" s="297" t="s">
        <v>1184</v>
      </c>
      <c r="D204" s="6909"/>
      <c r="E204" s="6717"/>
      <c r="F204" s="6852"/>
      <c r="G204" s="6881"/>
      <c r="H204" s="1409"/>
      <c r="I204" s="572" t="s">
        <v>1183</v>
      </c>
      <c r="J204" s="496"/>
      <c r="K204" s="1409"/>
      <c r="L204" s="135"/>
      <c r="M204" s="1770"/>
      <c r="N204" s="261"/>
      <c r="O204" s="1535"/>
      <c r="P204" s="1535"/>
    </row>
    <row r="205" spans="1:16" s="2045" customFormat="1" ht="0.75" hidden="1" customHeight="1">
      <c r="A205" s="1689"/>
      <c r="B205" s="1689"/>
      <c r="C205" s="297" t="s">
        <v>1191</v>
      </c>
      <c r="D205" s="6909"/>
      <c r="E205" s="6717"/>
      <c r="F205" s="6852"/>
      <c r="G205" s="334"/>
      <c r="H205" s="1409"/>
      <c r="I205" s="572"/>
      <c r="J205" s="496"/>
      <c r="K205" s="1409"/>
      <c r="L205" s="135"/>
      <c r="M205" s="268"/>
      <c r="N205" s="261"/>
      <c r="O205" s="1535"/>
      <c r="P205" s="1535"/>
    </row>
    <row r="206" spans="1:16" s="2045" customFormat="1" ht="45" hidden="1" customHeight="1">
      <c r="A206" s="1689" t="s">
        <v>277</v>
      </c>
      <c r="B206" s="1689" t="s">
        <v>278</v>
      </c>
      <c r="C206" s="297"/>
      <c r="D206" s="6909"/>
      <c r="E206" s="6717"/>
      <c r="F206" s="6852"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6881" t="str">
        <f>INDEX(PT_DIFFERENTIATION_NTAR,MATCH(B206,PT_DIFFERENTIATION_NTAR_ID,0))</f>
        <v>Тариф на теплоноситель, поставляемый потребителям</v>
      </c>
      <c r="H206" s="1771"/>
      <c r="I206" s="1647"/>
      <c r="J206" s="1682"/>
      <c r="K206" s="1687"/>
      <c r="L206" s="1771" t="s">
        <v>424</v>
      </c>
      <c r="M206" s="268"/>
      <c r="N206" s="261"/>
      <c r="O206" s="1535"/>
      <c r="P206" s="1535"/>
    </row>
    <row r="207" spans="1:16" s="2045" customFormat="1" ht="18.75" hidden="1" customHeight="1">
      <c r="A207" s="1689"/>
      <c r="B207" s="1689"/>
      <c r="C207" s="297" t="s">
        <v>1184</v>
      </c>
      <c r="D207" s="6909"/>
      <c r="E207" s="6717"/>
      <c r="F207" s="6852"/>
      <c r="G207" s="6881"/>
      <c r="H207" s="1409"/>
      <c r="I207" s="572" t="s">
        <v>1183</v>
      </c>
      <c r="J207" s="496"/>
      <c r="K207" s="1409"/>
      <c r="L207" s="135"/>
      <c r="M207" s="268"/>
      <c r="N207" s="261"/>
      <c r="O207" s="1535"/>
      <c r="P207" s="1535"/>
    </row>
    <row r="208" spans="1:16" s="2045" customFormat="1" ht="0.75" hidden="1" customHeight="1">
      <c r="A208" s="1689"/>
      <c r="B208" s="1689"/>
      <c r="C208" s="297" t="s">
        <v>1191</v>
      </c>
      <c r="D208" s="6909"/>
      <c r="E208" s="6717"/>
      <c r="F208" s="6852"/>
      <c r="G208" s="334"/>
      <c r="H208" s="1409"/>
      <c r="I208" s="572"/>
      <c r="J208" s="496"/>
      <c r="K208" s="1409"/>
      <c r="L208" s="135"/>
      <c r="M208" s="268"/>
      <c r="N208" s="261"/>
      <c r="O208" s="1535"/>
      <c r="P208" s="1535"/>
    </row>
    <row r="209" spans="1:16" s="2045" customFormat="1" ht="45" hidden="1" customHeight="1">
      <c r="A209" s="1689" t="s">
        <v>294</v>
      </c>
      <c r="B209" s="1689" t="s">
        <v>295</v>
      </c>
      <c r="C209" s="297"/>
      <c r="D209" s="6909"/>
      <c r="E209" s="6717"/>
      <c r="F209" s="6852"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6881" t="str">
        <f>INDEX(PT_DIFFERENTIATION_NTAR,MATCH(B209,PT_DIFFERENTIATION_NTAR_ID,0))</f>
        <v>Тариф на горячую воду, поставляемую потребителям в открытой системе теплоснабжения (горячее водоснабжение)</v>
      </c>
      <c r="H209" s="1771"/>
      <c r="I209" s="1647"/>
      <c r="J209" s="1682"/>
      <c r="K209" s="1687"/>
      <c r="L209" s="1771" t="s">
        <v>424</v>
      </c>
      <c r="M209" s="268"/>
      <c r="N209" s="261"/>
      <c r="O209" s="1535"/>
      <c r="P209" s="1535"/>
    </row>
    <row r="210" spans="1:16" s="2045" customFormat="1" ht="18.75" hidden="1" customHeight="1">
      <c r="A210" s="1689"/>
      <c r="B210" s="1689"/>
      <c r="C210" s="297" t="s">
        <v>1184</v>
      </c>
      <c r="D210" s="6909"/>
      <c r="E210" s="6717"/>
      <c r="F210" s="6852"/>
      <c r="G210" s="6881"/>
      <c r="H210" s="1409"/>
      <c r="I210" s="572" t="s">
        <v>1183</v>
      </c>
      <c r="J210" s="496"/>
      <c r="K210" s="1409"/>
      <c r="L210" s="135"/>
      <c r="M210" s="268"/>
      <c r="N210" s="261"/>
      <c r="O210" s="1535"/>
      <c r="P210" s="1535"/>
    </row>
    <row r="211" spans="1:16" s="2045" customFormat="1" ht="0.75" hidden="1" customHeight="1">
      <c r="A211" s="1689"/>
      <c r="B211" s="1689"/>
      <c r="C211" s="297" t="s">
        <v>1191</v>
      </c>
      <c r="D211" s="6909"/>
      <c r="E211" s="6717"/>
      <c r="F211" s="6852"/>
      <c r="G211" s="334"/>
      <c r="H211" s="1409"/>
      <c r="I211" s="572"/>
      <c r="J211" s="496"/>
      <c r="K211" s="1409"/>
      <c r="L211" s="135"/>
      <c r="M211" s="268"/>
      <c r="N211" s="261"/>
      <c r="O211" s="1535"/>
      <c r="P211" s="1535"/>
    </row>
    <row r="212" spans="1:16" s="2045" customFormat="1" ht="18.75" hidden="1" customHeight="1">
      <c r="A212" s="1689" t="s">
        <v>309</v>
      </c>
      <c r="B212" s="1689" t="s">
        <v>310</v>
      </c>
      <c r="C212" s="297"/>
      <c r="D212" s="6909"/>
      <c r="E212" s="6717"/>
      <c r="F212" s="6852" t="str">
        <f>INDEX(PT_DIFFERENTIATION_VTAR,MATCH(A212,PT_DIFFERENTIATION_VTAR_ID,0))</f>
        <v>Тарифы на услуги по передаче тепловой энергии</v>
      </c>
      <c r="G212" s="6881" t="str">
        <f>INDEX(PT_DIFFERENTIATION_NTAR,MATCH(B212,PT_DIFFERENTIATION_NTAR_ID,0))</f>
        <v/>
      </c>
      <c r="H212" s="1771"/>
      <c r="I212" s="1647"/>
      <c r="J212" s="1682"/>
      <c r="K212" s="1687"/>
      <c r="L212" s="1771" t="s">
        <v>424</v>
      </c>
      <c r="M212" s="268"/>
      <c r="N212" s="261"/>
      <c r="O212" s="1535"/>
      <c r="P212" s="1535"/>
    </row>
    <row r="213" spans="1:16" s="2045" customFormat="1" ht="18.75" hidden="1" customHeight="1">
      <c r="A213" s="1689"/>
      <c r="B213" s="1689"/>
      <c r="C213" s="297" t="s">
        <v>1184</v>
      </c>
      <c r="D213" s="6909"/>
      <c r="E213" s="6717"/>
      <c r="F213" s="6852"/>
      <c r="G213" s="6881"/>
      <c r="H213" s="1409"/>
      <c r="I213" s="572" t="s">
        <v>1183</v>
      </c>
      <c r="J213" s="496"/>
      <c r="K213" s="1409"/>
      <c r="L213" s="135"/>
      <c r="M213" s="268"/>
      <c r="N213" s="261"/>
      <c r="O213" s="1535"/>
      <c r="P213" s="1535"/>
    </row>
    <row r="214" spans="1:16" s="2045" customFormat="1" ht="0.75" hidden="1" customHeight="1">
      <c r="A214" s="1689"/>
      <c r="B214" s="1689"/>
      <c r="C214" s="297" t="s">
        <v>1191</v>
      </c>
      <c r="D214" s="6909"/>
      <c r="E214" s="6717"/>
      <c r="F214" s="6852"/>
      <c r="G214" s="334"/>
      <c r="H214" s="1409"/>
      <c r="I214" s="572"/>
      <c r="J214" s="496"/>
      <c r="K214" s="1409"/>
      <c r="L214" s="135"/>
      <c r="M214" s="268"/>
      <c r="N214" s="261"/>
      <c r="O214" s="1535"/>
      <c r="P214" s="1535"/>
    </row>
    <row r="215" spans="1:16" s="2045" customFormat="1" ht="18.75" hidden="1" customHeight="1">
      <c r="A215" s="1689" t="s">
        <v>315</v>
      </c>
      <c r="B215" s="1689" t="s">
        <v>316</v>
      </c>
      <c r="C215" s="297"/>
      <c r="D215" s="6909"/>
      <c r="E215" s="6717"/>
      <c r="F215" s="6852" t="str">
        <f>INDEX(PT_DIFFERENTIATION_VTAR,MATCH(A215,PT_DIFFERENTIATION_VTAR_ID,0))</f>
        <v>Тарифы на услуги по передаче теплоносителя</v>
      </c>
      <c r="G215" s="6881" t="str">
        <f>INDEX(PT_DIFFERENTIATION_NTAR,MATCH(B215,PT_DIFFERENTIATION_NTAR_ID,0))</f>
        <v/>
      </c>
      <c r="H215" s="1771"/>
      <c r="I215" s="1647"/>
      <c r="J215" s="1682"/>
      <c r="K215" s="1687"/>
      <c r="L215" s="1771" t="s">
        <v>424</v>
      </c>
      <c r="M215" s="268"/>
      <c r="N215" s="261"/>
      <c r="O215" s="1535"/>
      <c r="P215" s="1535"/>
    </row>
    <row r="216" spans="1:16" s="2045" customFormat="1" ht="18.75" hidden="1" customHeight="1">
      <c r="A216" s="1689"/>
      <c r="B216" s="1689"/>
      <c r="C216" s="297" t="s">
        <v>1184</v>
      </c>
      <c r="D216" s="6909"/>
      <c r="E216" s="6717"/>
      <c r="F216" s="6852"/>
      <c r="G216" s="6881"/>
      <c r="H216" s="1409"/>
      <c r="I216" s="572" t="s">
        <v>1183</v>
      </c>
      <c r="J216" s="496"/>
      <c r="K216" s="1409"/>
      <c r="L216" s="135"/>
      <c r="M216" s="268"/>
      <c r="N216" s="261"/>
      <c r="O216" s="1535"/>
      <c r="P216" s="1535"/>
    </row>
    <row r="217" spans="1:16" s="2045" customFormat="1" ht="0.75" hidden="1" customHeight="1">
      <c r="A217" s="1689"/>
      <c r="B217" s="1689"/>
      <c r="C217" s="297" t="s">
        <v>1191</v>
      </c>
      <c r="D217" s="6909"/>
      <c r="E217" s="6717"/>
      <c r="F217" s="6852"/>
      <c r="G217" s="334"/>
      <c r="H217" s="1409"/>
      <c r="I217" s="572"/>
      <c r="J217" s="496"/>
      <c r="K217" s="1409"/>
      <c r="L217" s="135"/>
      <c r="M217" s="268"/>
      <c r="N217" s="261"/>
      <c r="O217" s="1535"/>
      <c r="P217" s="1535"/>
    </row>
    <row r="218" spans="1:16" s="2045" customFormat="1" ht="18.75" hidden="1" customHeight="1">
      <c r="A218" s="1689" t="s">
        <v>321</v>
      </c>
      <c r="B218" s="1689" t="s">
        <v>322</v>
      </c>
      <c r="C218" s="297"/>
      <c r="D218" s="6909"/>
      <c r="E218" s="6717"/>
      <c r="F218" s="6852" t="str">
        <f>INDEX(PT_DIFFERENTIATION_VTAR,MATCH(A218,PT_DIFFERENTIATION_VTAR_ID,0))</f>
        <v>Плата за услуги по поддержанию резервной тепловой мощности при отсутствии потребления тепловой энергии</v>
      </c>
      <c r="G218" s="6881" t="str">
        <f>INDEX(PT_DIFFERENTIATION_NTAR,MATCH(B218,PT_DIFFERENTIATION_NTAR_ID,0))</f>
        <v/>
      </c>
      <c r="H218" s="1771"/>
      <c r="I218" s="1647"/>
      <c r="J218" s="1682"/>
      <c r="K218" s="1687"/>
      <c r="L218" s="1771" t="s">
        <v>424</v>
      </c>
      <c r="M218" s="268"/>
      <c r="N218" s="261"/>
      <c r="O218" s="1535"/>
      <c r="P218" s="1535"/>
    </row>
    <row r="219" spans="1:16" s="2045" customFormat="1" ht="18.75" hidden="1" customHeight="1">
      <c r="A219" s="1689"/>
      <c r="B219" s="1689"/>
      <c r="C219" s="297" t="s">
        <v>1184</v>
      </c>
      <c r="D219" s="6909"/>
      <c r="E219" s="6717"/>
      <c r="F219" s="6852"/>
      <c r="G219" s="6881"/>
      <c r="H219" s="1409"/>
      <c r="I219" s="572" t="s">
        <v>1183</v>
      </c>
      <c r="J219" s="496"/>
      <c r="K219" s="1409"/>
      <c r="L219" s="135"/>
      <c r="M219" s="268"/>
      <c r="N219" s="261"/>
      <c r="O219" s="1535"/>
      <c r="P219" s="1535"/>
    </row>
    <row r="220" spans="1:16" s="2045" customFormat="1" ht="0.75" hidden="1" customHeight="1">
      <c r="A220" s="1689"/>
      <c r="B220" s="1689"/>
      <c r="C220" s="297" t="s">
        <v>1191</v>
      </c>
      <c r="D220" s="6909"/>
      <c r="E220" s="6717"/>
      <c r="F220" s="6852"/>
      <c r="G220" s="334"/>
      <c r="H220" s="1409"/>
      <c r="I220" s="572"/>
      <c r="J220" s="496"/>
      <c r="K220" s="1409"/>
      <c r="L220" s="135"/>
      <c r="M220" s="268"/>
      <c r="N220" s="261"/>
      <c r="O220" s="1535"/>
      <c r="P220" s="1535"/>
    </row>
    <row r="221" spans="1:16" s="2045" customFormat="1" ht="18.75" hidden="1" customHeight="1">
      <c r="A221" s="1689" t="s">
        <v>329</v>
      </c>
      <c r="B221" s="1689" t="s">
        <v>330</v>
      </c>
      <c r="C221" s="297"/>
      <c r="D221" s="6909"/>
      <c r="E221" s="6717"/>
      <c r="F221" s="6852" t="str">
        <f>INDEX(PT_DIFFERENTIATION_VTAR,MATCH(A221,PT_DIFFERENTIATION_VTAR_ID,0))</f>
        <v>Плата за подключение (технологическое присоединение) к системе теплоснабжения</v>
      </c>
      <c r="G221" s="6881" t="str">
        <f>INDEX(PT_DIFFERENTIATION_NTAR,MATCH(B221,PT_DIFFERENTIATION_NTAR_ID,0))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H221" s="1771"/>
      <c r="I221" s="1647"/>
      <c r="J221" s="1682"/>
      <c r="K221" s="1687"/>
      <c r="L221" s="1771" t="s">
        <v>424</v>
      </c>
      <c r="M221" s="268"/>
      <c r="N221" s="261"/>
      <c r="O221" s="1535"/>
      <c r="P221" s="1535"/>
    </row>
    <row r="222" spans="1:16" s="2045" customFormat="1" ht="18.75" hidden="1" customHeight="1">
      <c r="A222" s="1689"/>
      <c r="B222" s="1689"/>
      <c r="C222" s="297" t="s">
        <v>1184</v>
      </c>
      <c r="D222" s="6909"/>
      <c r="E222" s="6717"/>
      <c r="F222" s="6852"/>
      <c r="G222" s="6881"/>
      <c r="H222" s="1409"/>
      <c r="I222" s="572" t="s">
        <v>1183</v>
      </c>
      <c r="J222" s="496"/>
      <c r="K222" s="1409"/>
      <c r="L222" s="135"/>
      <c r="M222" s="268"/>
      <c r="N222" s="261"/>
      <c r="O222" s="1535"/>
      <c r="P222" s="1535"/>
    </row>
    <row r="223" spans="1:16" s="2045" customFormat="1" ht="0.75" hidden="1" customHeight="1">
      <c r="A223" s="1689"/>
      <c r="B223" s="1689"/>
      <c r="C223" s="297" t="s">
        <v>1191</v>
      </c>
      <c r="D223" s="6909"/>
      <c r="E223" s="6717"/>
      <c r="F223" s="6852"/>
      <c r="G223" s="334"/>
      <c r="H223" s="1409"/>
      <c r="I223" s="572"/>
      <c r="J223" s="496"/>
      <c r="K223" s="1409"/>
      <c r="L223" s="135"/>
      <c r="M223" s="268"/>
      <c r="N223" s="261"/>
      <c r="O223" s="1535"/>
      <c r="P223" s="1535"/>
    </row>
    <row r="224" spans="1:16" s="2045" customFormat="1" ht="18.75" hidden="1" customHeight="1">
      <c r="A224" s="1689" t="s">
        <v>343</v>
      </c>
      <c r="B224" s="1689" t="s">
        <v>344</v>
      </c>
      <c r="C224" s="297"/>
      <c r="D224" s="6909"/>
      <c r="E224" s="6717"/>
      <c r="F224" s="6852" t="str">
        <f>INDEX(PT_DIFFERENTIATION_VTAR,MATCH(A224,PT_DIFFERENTIATION_VTAR_ID,0))</f>
        <v>Тариф на питьевую воду (питьевое водоснабжение)</v>
      </c>
      <c r="G224" s="6881" t="str">
        <f>INDEX(PT_DIFFERENTIATION_NTAR,MATCH(B224,PT_DIFFERENTIATION_NTAR_ID,0))</f>
        <v/>
      </c>
      <c r="H224" s="1771"/>
      <c r="I224" s="1647"/>
      <c r="J224" s="1682"/>
      <c r="K224" s="1687"/>
      <c r="L224" s="1771" t="s">
        <v>424</v>
      </c>
      <c r="M224" s="268"/>
      <c r="N224" s="261"/>
      <c r="O224" s="1535"/>
      <c r="P224" s="1535"/>
    </row>
    <row r="225" spans="1:16" s="2045" customFormat="1" ht="18.75" hidden="1" customHeight="1">
      <c r="A225" s="1689"/>
      <c r="B225" s="1689"/>
      <c r="C225" s="297" t="s">
        <v>1184</v>
      </c>
      <c r="D225" s="6909"/>
      <c r="E225" s="6717"/>
      <c r="F225" s="6852"/>
      <c r="G225" s="6881"/>
      <c r="H225" s="1409"/>
      <c r="I225" s="572" t="s">
        <v>1183</v>
      </c>
      <c r="J225" s="496"/>
      <c r="K225" s="1409"/>
      <c r="L225" s="135"/>
      <c r="M225" s="268"/>
      <c r="N225" s="261"/>
      <c r="O225" s="1535"/>
      <c r="P225" s="1535"/>
    </row>
    <row r="226" spans="1:16" s="2045" customFormat="1" ht="0.75" hidden="1" customHeight="1">
      <c r="A226" s="1689"/>
      <c r="B226" s="1689"/>
      <c r="C226" s="297" t="s">
        <v>1191</v>
      </c>
      <c r="D226" s="6909"/>
      <c r="E226" s="6717"/>
      <c r="F226" s="6852"/>
      <c r="G226" s="334"/>
      <c r="H226" s="1409"/>
      <c r="I226" s="572"/>
      <c r="J226" s="496"/>
      <c r="K226" s="1409"/>
      <c r="L226" s="135"/>
      <c r="M226" s="268"/>
      <c r="N226" s="261"/>
      <c r="O226" s="1535"/>
      <c r="P226" s="1535"/>
    </row>
    <row r="227" spans="1:16" s="2045" customFormat="1" ht="18.75" hidden="1" customHeight="1">
      <c r="A227" s="1689" t="s">
        <v>348</v>
      </c>
      <c r="B227" s="1689" t="s">
        <v>349</v>
      </c>
      <c r="C227" s="297"/>
      <c r="D227" s="6909"/>
      <c r="E227" s="6717"/>
      <c r="F227" s="6852" t="str">
        <f>INDEX(PT_DIFFERENTIATION_VTAR,MATCH(A227,PT_DIFFERENTIATION_VTAR_ID,0))</f>
        <v>Тариф на техническую воду</v>
      </c>
      <c r="G227" s="6881" t="str">
        <f>INDEX(PT_DIFFERENTIATION_NTAR,MATCH(B227,PT_DIFFERENTIATION_NTAR_ID,0))</f>
        <v/>
      </c>
      <c r="H227" s="1771"/>
      <c r="I227" s="1647"/>
      <c r="J227" s="1682"/>
      <c r="K227" s="1687"/>
      <c r="L227" s="1771" t="s">
        <v>424</v>
      </c>
      <c r="M227" s="268"/>
      <c r="N227" s="261"/>
      <c r="O227" s="1535"/>
      <c r="P227" s="1535"/>
    </row>
    <row r="228" spans="1:16" s="2045" customFormat="1" ht="18.75" hidden="1" customHeight="1">
      <c r="A228" s="1689"/>
      <c r="B228" s="1689"/>
      <c r="C228" s="297" t="s">
        <v>1184</v>
      </c>
      <c r="D228" s="6909"/>
      <c r="E228" s="6717"/>
      <c r="F228" s="6852"/>
      <c r="G228" s="6881"/>
      <c r="H228" s="1409"/>
      <c r="I228" s="572" t="s">
        <v>1183</v>
      </c>
      <c r="J228" s="496"/>
      <c r="K228" s="1409"/>
      <c r="L228" s="135"/>
      <c r="M228" s="268"/>
      <c r="N228" s="261"/>
      <c r="O228" s="1535"/>
      <c r="P228" s="1535"/>
    </row>
    <row r="229" spans="1:16" s="2045" customFormat="1" ht="0.75" hidden="1" customHeight="1">
      <c r="A229" s="1689"/>
      <c r="B229" s="1689"/>
      <c r="C229" s="297" t="s">
        <v>1191</v>
      </c>
      <c r="D229" s="6909"/>
      <c r="E229" s="6717"/>
      <c r="F229" s="6852"/>
      <c r="G229" s="334"/>
      <c r="H229" s="1409"/>
      <c r="I229" s="572"/>
      <c r="J229" s="496"/>
      <c r="K229" s="1409"/>
      <c r="L229" s="135"/>
      <c r="M229" s="268"/>
      <c r="N229" s="261"/>
      <c r="O229" s="1535"/>
      <c r="P229" s="1535"/>
    </row>
    <row r="230" spans="1:16" s="2045" customFormat="1" ht="18.75" hidden="1" customHeight="1">
      <c r="A230" s="1689" t="s">
        <v>353</v>
      </c>
      <c r="B230" s="1689" t="s">
        <v>354</v>
      </c>
      <c r="C230" s="297"/>
      <c r="D230" s="6909"/>
      <c r="E230" s="6717"/>
      <c r="F230" s="6852" t="str">
        <f>INDEX(PT_DIFFERENTIATION_VTAR,MATCH(A230,PT_DIFFERENTIATION_VTAR_ID,0))</f>
        <v>Тариф на транспортировку воды</v>
      </c>
      <c r="G230" s="6881" t="str">
        <f>INDEX(PT_DIFFERENTIATION_NTAR,MATCH(B230,PT_DIFFERENTIATION_NTAR_ID,0))</f>
        <v/>
      </c>
      <c r="H230" s="1771"/>
      <c r="I230" s="1647"/>
      <c r="J230" s="1682"/>
      <c r="K230" s="1687"/>
      <c r="L230" s="1771" t="s">
        <v>424</v>
      </c>
      <c r="M230" s="268"/>
      <c r="N230" s="261"/>
      <c r="O230" s="1535"/>
      <c r="P230" s="1535"/>
    </row>
    <row r="231" spans="1:16" s="2045" customFormat="1" ht="18.75" hidden="1" customHeight="1">
      <c r="A231" s="1689"/>
      <c r="B231" s="1689"/>
      <c r="C231" s="297" t="s">
        <v>1184</v>
      </c>
      <c r="D231" s="6909"/>
      <c r="E231" s="6717"/>
      <c r="F231" s="6852"/>
      <c r="G231" s="6881"/>
      <c r="H231" s="1409"/>
      <c r="I231" s="572" t="s">
        <v>1183</v>
      </c>
      <c r="J231" s="496"/>
      <c r="K231" s="1409"/>
      <c r="L231" s="135"/>
      <c r="M231" s="268"/>
      <c r="N231" s="261"/>
      <c r="O231" s="1535"/>
      <c r="P231" s="1535"/>
    </row>
    <row r="232" spans="1:16" s="2045" customFormat="1" ht="0.75" hidden="1" customHeight="1">
      <c r="A232" s="1689"/>
      <c r="B232" s="1689"/>
      <c r="C232" s="297" t="s">
        <v>1191</v>
      </c>
      <c r="D232" s="6909"/>
      <c r="E232" s="6717"/>
      <c r="F232" s="6852"/>
      <c r="G232" s="334"/>
      <c r="H232" s="1409"/>
      <c r="I232" s="572"/>
      <c r="J232" s="496"/>
      <c r="K232" s="1409"/>
      <c r="L232" s="135"/>
      <c r="M232" s="268"/>
      <c r="N232" s="261"/>
      <c r="O232" s="1535"/>
      <c r="P232" s="1535"/>
    </row>
    <row r="233" spans="1:16" s="2045" customFormat="1" ht="18.75" hidden="1" customHeight="1">
      <c r="A233" s="1689" t="s">
        <v>358</v>
      </c>
      <c r="B233" s="1689" t="s">
        <v>359</v>
      </c>
      <c r="C233" s="297"/>
      <c r="D233" s="6909"/>
      <c r="E233" s="6717"/>
      <c r="F233" s="6852" t="str">
        <f>INDEX(PT_DIFFERENTIATION_VTAR,MATCH(A233,PT_DIFFERENTIATION_VTAR_ID,0))</f>
        <v>Тариф на подвоз воды</v>
      </c>
      <c r="G233" s="6881" t="str">
        <f>INDEX(PT_DIFFERENTIATION_NTAR,MATCH(B233,PT_DIFFERENTIATION_NTAR_ID,0))</f>
        <v/>
      </c>
      <c r="H233" s="1771"/>
      <c r="I233" s="1647"/>
      <c r="J233" s="1682"/>
      <c r="K233" s="1687"/>
      <c r="L233" s="1771" t="s">
        <v>424</v>
      </c>
      <c r="M233" s="268"/>
      <c r="N233" s="261"/>
      <c r="O233" s="1535"/>
      <c r="P233" s="1535"/>
    </row>
    <row r="234" spans="1:16" s="2045" customFormat="1" ht="18.75" hidden="1" customHeight="1">
      <c r="A234" s="1689"/>
      <c r="B234" s="1689"/>
      <c r="C234" s="297" t="s">
        <v>1184</v>
      </c>
      <c r="D234" s="6909"/>
      <c r="E234" s="6717"/>
      <c r="F234" s="6852"/>
      <c r="G234" s="6881"/>
      <c r="H234" s="1409"/>
      <c r="I234" s="572" t="s">
        <v>1183</v>
      </c>
      <c r="J234" s="496"/>
      <c r="K234" s="1409"/>
      <c r="L234" s="135"/>
      <c r="M234" s="268"/>
      <c r="N234" s="261"/>
      <c r="O234" s="1535"/>
      <c r="P234" s="1535"/>
    </row>
    <row r="235" spans="1:16" s="2045" customFormat="1" ht="0.75" hidden="1" customHeight="1">
      <c r="A235" s="1689"/>
      <c r="B235" s="1689"/>
      <c r="C235" s="297" t="s">
        <v>1191</v>
      </c>
      <c r="D235" s="6909"/>
      <c r="E235" s="6717"/>
      <c r="F235" s="6852"/>
      <c r="G235" s="334"/>
      <c r="H235" s="1409"/>
      <c r="I235" s="572"/>
      <c r="J235" s="496"/>
      <c r="K235" s="1409"/>
      <c r="L235" s="135"/>
      <c r="M235" s="268"/>
      <c r="N235" s="261"/>
      <c r="O235" s="1535"/>
      <c r="P235" s="1535"/>
    </row>
    <row r="236" spans="1:16" s="2045" customFormat="1" ht="18.75" hidden="1" customHeight="1">
      <c r="A236" s="1689" t="s">
        <v>363</v>
      </c>
      <c r="B236" s="1689" t="s">
        <v>364</v>
      </c>
      <c r="C236" s="297"/>
      <c r="D236" s="6909"/>
      <c r="E236" s="6717"/>
      <c r="F236" s="6852"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6881" t="str">
        <f>INDEX(PT_DIFFERENTIATION_NTAR,MATCH(B236,PT_DIFFERENTIATION_NTAR_ID,0))</f>
        <v/>
      </c>
      <c r="H236" s="1771"/>
      <c r="I236" s="1647"/>
      <c r="J236" s="1682"/>
      <c r="K236" s="1687"/>
      <c r="L236" s="1771" t="s">
        <v>424</v>
      </c>
      <c r="M236" s="268"/>
      <c r="N236" s="261"/>
      <c r="O236" s="1535"/>
      <c r="P236" s="1535"/>
    </row>
    <row r="237" spans="1:16" s="2045" customFormat="1" ht="18.75" hidden="1" customHeight="1">
      <c r="A237" s="1689"/>
      <c r="B237" s="1689"/>
      <c r="C237" s="297" t="s">
        <v>1184</v>
      </c>
      <c r="D237" s="6909"/>
      <c r="E237" s="6717"/>
      <c r="F237" s="6852"/>
      <c r="G237" s="6881"/>
      <c r="H237" s="1409"/>
      <c r="I237" s="572" t="s">
        <v>1183</v>
      </c>
      <c r="J237" s="496"/>
      <c r="K237" s="1409"/>
      <c r="L237" s="135"/>
      <c r="M237" s="268"/>
      <c r="N237" s="261"/>
      <c r="O237" s="1535"/>
      <c r="P237" s="1535"/>
    </row>
    <row r="238" spans="1:16" s="2045" customFormat="1" ht="0.75" hidden="1" customHeight="1">
      <c r="A238" s="1689"/>
      <c r="B238" s="1689"/>
      <c r="C238" s="297" t="s">
        <v>1191</v>
      </c>
      <c r="D238" s="6909"/>
      <c r="E238" s="6717"/>
      <c r="F238" s="6852"/>
      <c r="G238" s="334"/>
      <c r="H238" s="1409"/>
      <c r="I238" s="572"/>
      <c r="J238" s="496"/>
      <c r="K238" s="1409"/>
      <c r="L238" s="135"/>
      <c r="M238" s="268"/>
      <c r="N238" s="261"/>
      <c r="O238" s="1535"/>
      <c r="P238" s="1535"/>
    </row>
    <row r="239" spans="1:16" s="2045" customFormat="1" ht="18.75" hidden="1" customHeight="1">
      <c r="A239" s="1689" t="s">
        <v>368</v>
      </c>
      <c r="B239" s="1689" t="s">
        <v>369</v>
      </c>
      <c r="C239" s="297"/>
      <c r="D239" s="6909"/>
      <c r="E239" s="6717"/>
      <c r="F239" s="6852" t="str">
        <f>INDEX(PT_DIFFERENTIATION_VTAR,MATCH(A239,PT_DIFFERENTIATION_VTAR_ID,0))</f>
        <v>Тариф на горячую воду (горячее водоснабжение)</v>
      </c>
      <c r="G239" s="6881" t="str">
        <f>INDEX(PT_DIFFERENTIATION_NTAR,MATCH(B239,PT_DIFFERENTIATION_NTAR_ID,0))</f>
        <v/>
      </c>
      <c r="H239" s="1771"/>
      <c r="I239" s="1647"/>
      <c r="J239" s="1682"/>
      <c r="K239" s="1687"/>
      <c r="L239" s="1771" t="s">
        <v>424</v>
      </c>
      <c r="M239" s="268"/>
      <c r="N239" s="261"/>
      <c r="O239" s="1535"/>
      <c r="P239" s="1535"/>
    </row>
    <row r="240" spans="1:16" s="2045" customFormat="1" ht="18.75" hidden="1" customHeight="1">
      <c r="A240" s="1689"/>
      <c r="B240" s="1689"/>
      <c r="C240" s="297" t="s">
        <v>1184</v>
      </c>
      <c r="D240" s="6909"/>
      <c r="E240" s="6717"/>
      <c r="F240" s="6852"/>
      <c r="G240" s="6881"/>
      <c r="H240" s="1409"/>
      <c r="I240" s="572" t="s">
        <v>1183</v>
      </c>
      <c r="J240" s="496"/>
      <c r="K240" s="1409"/>
      <c r="L240" s="135"/>
      <c r="M240" s="268"/>
      <c r="N240" s="261"/>
      <c r="O240" s="1535"/>
      <c r="P240" s="1535"/>
    </row>
    <row r="241" spans="1:16" s="2045" customFormat="1" ht="0.75" hidden="1" customHeight="1">
      <c r="A241" s="1689"/>
      <c r="B241" s="1689"/>
      <c r="C241" s="297" t="s">
        <v>1191</v>
      </c>
      <c r="D241" s="6909"/>
      <c r="E241" s="6717"/>
      <c r="F241" s="6852"/>
      <c r="G241" s="334"/>
      <c r="H241" s="1409"/>
      <c r="I241" s="572"/>
      <c r="J241" s="496"/>
      <c r="K241" s="1409"/>
      <c r="L241" s="135"/>
      <c r="M241" s="268"/>
      <c r="N241" s="261"/>
      <c r="O241" s="1535"/>
      <c r="P241" s="1535"/>
    </row>
    <row r="242" spans="1:16" s="2045" customFormat="1" ht="18.75" hidden="1" customHeight="1">
      <c r="A242" s="1689" t="s">
        <v>373</v>
      </c>
      <c r="B242" s="1689" t="s">
        <v>374</v>
      </c>
      <c r="C242" s="297"/>
      <c r="D242" s="6909"/>
      <c r="E242" s="6717"/>
      <c r="F242" s="6852" t="str">
        <f>INDEX(PT_DIFFERENTIATION_VTAR,MATCH(A242,PT_DIFFERENTIATION_VTAR_ID,0))</f>
        <v>Тариф на транспортировку горячей воды</v>
      </c>
      <c r="G242" s="6881" t="str">
        <f>INDEX(PT_DIFFERENTIATION_NTAR,MATCH(B242,PT_DIFFERENTIATION_NTAR_ID,0))</f>
        <v/>
      </c>
      <c r="H242" s="1771"/>
      <c r="I242" s="1647"/>
      <c r="J242" s="1682"/>
      <c r="K242" s="1687"/>
      <c r="L242" s="1771" t="s">
        <v>424</v>
      </c>
      <c r="M242" s="268"/>
      <c r="N242" s="261"/>
      <c r="O242" s="1535"/>
      <c r="P242" s="1535"/>
    </row>
    <row r="243" spans="1:16" s="2045" customFormat="1" ht="18.75" hidden="1" customHeight="1">
      <c r="A243" s="1689"/>
      <c r="B243" s="1689"/>
      <c r="C243" s="297" t="s">
        <v>1184</v>
      </c>
      <c r="D243" s="6909"/>
      <c r="E243" s="6717"/>
      <c r="F243" s="6852"/>
      <c r="G243" s="6881"/>
      <c r="H243" s="1409"/>
      <c r="I243" s="572" t="s">
        <v>1183</v>
      </c>
      <c r="J243" s="496"/>
      <c r="K243" s="1409"/>
      <c r="L243" s="135"/>
      <c r="M243" s="268"/>
      <c r="N243" s="261"/>
      <c r="O243" s="1535"/>
      <c r="P243" s="1535"/>
    </row>
    <row r="244" spans="1:16" s="2045" customFormat="1" ht="0.75" hidden="1" customHeight="1">
      <c r="A244" s="1689"/>
      <c r="B244" s="1689"/>
      <c r="C244" s="297" t="s">
        <v>1191</v>
      </c>
      <c r="D244" s="6909"/>
      <c r="E244" s="6717"/>
      <c r="F244" s="6852"/>
      <c r="G244" s="334"/>
      <c r="H244" s="1409"/>
      <c r="I244" s="572"/>
      <c r="J244" s="496"/>
      <c r="K244" s="1409"/>
      <c r="L244" s="135"/>
      <c r="M244" s="268"/>
      <c r="N244" s="261"/>
      <c r="O244" s="1535"/>
      <c r="P244" s="1535"/>
    </row>
    <row r="245" spans="1:16" s="2045" customFormat="1" ht="18.75" hidden="1" customHeight="1">
      <c r="A245" s="1689" t="s">
        <v>378</v>
      </c>
      <c r="B245" s="1689" t="s">
        <v>379</v>
      </c>
      <c r="C245" s="297"/>
      <c r="D245" s="6909"/>
      <c r="E245" s="6717"/>
      <c r="F245" s="6852" t="str">
        <f>INDEX(PT_DIFFERENTIATION_VTAR,MATCH(A245,PT_DIFFERENTIATION_VTAR_ID,0))</f>
        <v>Тариф на подключение (технологическое присоединение) к централизованной системе горячего водоснабжения</v>
      </c>
      <c r="G245" s="6881" t="str">
        <f>INDEX(PT_DIFFERENTIATION_NTAR,MATCH(B245,PT_DIFFERENTIATION_NTAR_ID,0))</f>
        <v/>
      </c>
      <c r="H245" s="1771"/>
      <c r="I245" s="1647"/>
      <c r="J245" s="1682"/>
      <c r="K245" s="1687"/>
      <c r="L245" s="1771" t="s">
        <v>424</v>
      </c>
      <c r="M245" s="268"/>
      <c r="N245" s="261"/>
      <c r="O245" s="1535"/>
      <c r="P245" s="1535"/>
    </row>
    <row r="246" spans="1:16" s="2045" customFormat="1" ht="18.75" hidden="1" customHeight="1">
      <c r="A246" s="1689"/>
      <c r="B246" s="1689"/>
      <c r="C246" s="297" t="s">
        <v>1184</v>
      </c>
      <c r="D246" s="6909"/>
      <c r="E246" s="6717"/>
      <c r="F246" s="6852"/>
      <c r="G246" s="6881"/>
      <c r="H246" s="1409"/>
      <c r="I246" s="572" t="s">
        <v>1183</v>
      </c>
      <c r="J246" s="496"/>
      <c r="K246" s="1409"/>
      <c r="L246" s="135"/>
      <c r="M246" s="268"/>
      <c r="N246" s="261"/>
      <c r="O246" s="1535"/>
      <c r="P246" s="1535"/>
    </row>
    <row r="247" spans="1:16" s="2045" customFormat="1" ht="0.75" hidden="1" customHeight="1">
      <c r="A247" s="1689"/>
      <c r="B247" s="1689"/>
      <c r="C247" s="297" t="s">
        <v>1191</v>
      </c>
      <c r="D247" s="6909"/>
      <c r="E247" s="6717"/>
      <c r="F247" s="6852"/>
      <c r="G247" s="334"/>
      <c r="H247" s="1409"/>
      <c r="I247" s="572"/>
      <c r="J247" s="496"/>
      <c r="K247" s="1409"/>
      <c r="L247" s="135"/>
      <c r="M247" s="268"/>
      <c r="N247" s="261"/>
      <c r="O247" s="1535"/>
      <c r="P247" s="1535"/>
    </row>
    <row r="248" spans="1:16" s="2045" customFormat="1" ht="18.75" hidden="1" customHeight="1">
      <c r="A248" s="1689" t="s">
        <v>383</v>
      </c>
      <c r="B248" s="1689" t="s">
        <v>384</v>
      </c>
      <c r="C248" s="297"/>
      <c r="D248" s="6909"/>
      <c r="E248" s="6717"/>
      <c r="F248" s="6852" t="str">
        <f>INDEX(PT_DIFFERENTIATION_VTAR,MATCH(A248,PT_DIFFERENTIATION_VTAR_ID,0))</f>
        <v>Тариф на водоотведение</v>
      </c>
      <c r="G248" s="6881" t="str">
        <f>INDEX(PT_DIFFERENTIATION_NTAR,MATCH(B248,PT_DIFFERENTIATION_NTAR_ID,0))</f>
        <v/>
      </c>
      <c r="H248" s="1771"/>
      <c r="I248" s="1647"/>
      <c r="J248" s="1682"/>
      <c r="K248" s="1687"/>
      <c r="L248" s="1771" t="s">
        <v>424</v>
      </c>
      <c r="M248" s="268"/>
      <c r="N248" s="261"/>
      <c r="O248" s="1535"/>
      <c r="P248" s="1535"/>
    </row>
    <row r="249" spans="1:16" s="2045" customFormat="1" ht="18.75" hidden="1" customHeight="1">
      <c r="A249" s="1689"/>
      <c r="B249" s="1689"/>
      <c r="C249" s="297" t="s">
        <v>1184</v>
      </c>
      <c r="D249" s="6909"/>
      <c r="E249" s="6717"/>
      <c r="F249" s="6852"/>
      <c r="G249" s="6881"/>
      <c r="H249" s="1409"/>
      <c r="I249" s="572" t="s">
        <v>1183</v>
      </c>
      <c r="J249" s="496"/>
      <c r="K249" s="1409"/>
      <c r="L249" s="135"/>
      <c r="M249" s="268"/>
      <c r="N249" s="261"/>
      <c r="O249" s="1535"/>
      <c r="P249" s="1535"/>
    </row>
    <row r="250" spans="1:16" s="2045" customFormat="1" ht="0.75" hidden="1" customHeight="1">
      <c r="A250" s="1689"/>
      <c r="B250" s="1689"/>
      <c r="C250" s="297" t="s">
        <v>1191</v>
      </c>
      <c r="D250" s="6909"/>
      <c r="E250" s="6717"/>
      <c r="F250" s="6852"/>
      <c r="G250" s="334"/>
      <c r="H250" s="1409"/>
      <c r="I250" s="572"/>
      <c r="J250" s="496"/>
      <c r="K250" s="1409"/>
      <c r="L250" s="135"/>
      <c r="M250" s="268"/>
      <c r="N250" s="261"/>
      <c r="O250" s="1535"/>
      <c r="P250" s="1535"/>
    </row>
    <row r="251" spans="1:16" s="2045" customFormat="1" ht="18.75" hidden="1" customHeight="1">
      <c r="A251" s="1689" t="s">
        <v>388</v>
      </c>
      <c r="B251" s="1689" t="s">
        <v>389</v>
      </c>
      <c r="C251" s="297"/>
      <c r="D251" s="6909"/>
      <c r="E251" s="6717"/>
      <c r="F251" s="6852" t="str">
        <f>INDEX(PT_DIFFERENTIATION_VTAR,MATCH(A251,PT_DIFFERENTIATION_VTAR_ID,0))</f>
        <v>Тариф на транспортировку сточных вод</v>
      </c>
      <c r="G251" s="6881" t="str">
        <f>INDEX(PT_DIFFERENTIATION_NTAR,MATCH(B251,PT_DIFFERENTIATION_NTAR_ID,0))</f>
        <v/>
      </c>
      <c r="H251" s="1771"/>
      <c r="I251" s="1647"/>
      <c r="J251" s="1682"/>
      <c r="K251" s="1687"/>
      <c r="L251" s="1771" t="s">
        <v>424</v>
      </c>
      <c r="M251" s="268"/>
      <c r="N251" s="261"/>
      <c r="O251" s="1535"/>
      <c r="P251" s="1535"/>
    </row>
    <row r="252" spans="1:16" s="2045" customFormat="1" ht="18.75" hidden="1" customHeight="1">
      <c r="A252" s="1689"/>
      <c r="B252" s="1689"/>
      <c r="C252" s="297" t="s">
        <v>1184</v>
      </c>
      <c r="D252" s="6909"/>
      <c r="E252" s="6717"/>
      <c r="F252" s="6852"/>
      <c r="G252" s="6881"/>
      <c r="H252" s="1409"/>
      <c r="I252" s="572" t="s">
        <v>1183</v>
      </c>
      <c r="J252" s="496"/>
      <c r="K252" s="1409"/>
      <c r="L252" s="135"/>
      <c r="M252" s="268"/>
      <c r="N252" s="261"/>
      <c r="O252" s="1535"/>
      <c r="P252" s="1535"/>
    </row>
    <row r="253" spans="1:16" s="2045" customFormat="1" ht="0.75" hidden="1" customHeight="1">
      <c r="A253" s="1689"/>
      <c r="B253" s="1689"/>
      <c r="C253" s="297" t="s">
        <v>1191</v>
      </c>
      <c r="D253" s="6909"/>
      <c r="E253" s="6717"/>
      <c r="F253" s="6852"/>
      <c r="G253" s="334"/>
      <c r="H253" s="1409"/>
      <c r="I253" s="572"/>
      <c r="J253" s="496"/>
      <c r="K253" s="1409"/>
      <c r="L253" s="135"/>
      <c r="M253" s="268"/>
      <c r="N253" s="261"/>
      <c r="O253" s="1535"/>
      <c r="P253" s="1535"/>
    </row>
    <row r="254" spans="1:16" s="2045" customFormat="1" ht="18.75" hidden="1" customHeight="1">
      <c r="A254" s="1689" t="s">
        <v>393</v>
      </c>
      <c r="B254" s="1689" t="s">
        <v>394</v>
      </c>
      <c r="C254" s="297"/>
      <c r="D254" s="6909"/>
      <c r="E254" s="6717"/>
      <c r="F254" s="6852" t="str">
        <f>INDEX(PT_DIFFERENTIATION_VTAR,MATCH(A254,PT_DIFFERENTIATION_VTAR_ID,0))</f>
        <v>Тариф на подключение (технологическое присоединение) к централизованной системе водоотведения</v>
      </c>
      <c r="G254" s="6881" t="str">
        <f>INDEX(PT_DIFFERENTIATION_NTAR,MATCH(B254,PT_DIFFERENTIATION_NTAR_ID,0))</f>
        <v/>
      </c>
      <c r="H254" s="1771"/>
      <c r="I254" s="1647"/>
      <c r="J254" s="1682"/>
      <c r="K254" s="1687"/>
      <c r="L254" s="1771" t="s">
        <v>424</v>
      </c>
      <c r="M254" s="268"/>
      <c r="N254" s="261"/>
      <c r="O254" s="1535"/>
      <c r="P254" s="1535"/>
    </row>
    <row r="255" spans="1:16" s="2045" customFormat="1" ht="18.75" hidden="1" customHeight="1">
      <c r="A255" s="1689"/>
      <c r="B255" s="1689"/>
      <c r="C255" s="297" t="s">
        <v>1184</v>
      </c>
      <c r="D255" s="6909"/>
      <c r="E255" s="6717"/>
      <c r="F255" s="6852"/>
      <c r="G255" s="6881"/>
      <c r="H255" s="1409"/>
      <c r="I255" s="572" t="s">
        <v>1183</v>
      </c>
      <c r="J255" s="496"/>
      <c r="K255" s="1409"/>
      <c r="L255" s="135"/>
      <c r="M255" s="268"/>
      <c r="N255" s="261"/>
      <c r="O255" s="1535"/>
      <c r="P255" s="1535"/>
    </row>
    <row r="256" spans="1:16" s="2045" customFormat="1" ht="0.75" customHeight="1">
      <c r="A256" s="1689"/>
      <c r="B256" s="1689"/>
      <c r="C256" s="297" t="s">
        <v>1191</v>
      </c>
      <c r="D256" s="6909"/>
      <c r="E256" s="6717"/>
      <c r="F256" s="6852"/>
      <c r="G256" s="334"/>
      <c r="H256" s="1409"/>
      <c r="I256" s="572"/>
      <c r="J256" s="496"/>
      <c r="K256" s="1409"/>
      <c r="L256" s="135"/>
      <c r="M256" s="268"/>
      <c r="N256" s="261"/>
      <c r="O256" s="1535"/>
      <c r="P256" s="1535"/>
    </row>
    <row r="257" spans="1:16" ht="25.5" customHeight="1">
      <c r="A257" s="1689"/>
      <c r="B257" s="1689"/>
      <c r="D257" s="305"/>
      <c r="E257" s="71" t="s">
        <v>91</v>
      </c>
      <c r="F257" s="690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6908"/>
      <c r="H257" s="6908"/>
      <c r="I257" s="6908"/>
      <c r="J257" s="6908"/>
      <c r="K257" s="6908"/>
      <c r="L257" s="6908"/>
      <c r="M257" s="216"/>
      <c r="N257" s="261"/>
    </row>
    <row r="258" spans="1:16" s="2045" customFormat="1" ht="60.75" hidden="1" customHeight="1">
      <c r="A258" s="1689" t="s">
        <v>215</v>
      </c>
      <c r="B258" s="1689" t="s">
        <v>216</v>
      </c>
      <c r="C258" s="297"/>
      <c r="D258" s="6909"/>
      <c r="E258" s="6717"/>
      <c r="F258" s="6852"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6881" t="str">
        <f>INDEX(PT_DIFFERENTIATION_NTAR,MATCH(B258,PT_DIFFERENTIATION_NTAR_ID,0))</f>
        <v/>
      </c>
      <c r="H258" s="1771"/>
      <c r="I258" s="1647"/>
      <c r="J258" s="1682"/>
      <c r="K258" s="1687"/>
      <c r="L258" s="1771" t="s">
        <v>424</v>
      </c>
      <c r="M258" s="66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5"/>
      <c r="P258" s="1535"/>
    </row>
    <row r="259" spans="1:16" s="2045" customFormat="1" ht="18.75" hidden="1" customHeight="1">
      <c r="A259" s="1689"/>
      <c r="B259" s="1689"/>
      <c r="C259" s="297" t="s">
        <v>1184</v>
      </c>
      <c r="D259" s="6909"/>
      <c r="E259" s="6717"/>
      <c r="F259" s="6852"/>
      <c r="G259" s="6881"/>
      <c r="H259" s="1409"/>
      <c r="I259" s="572" t="s">
        <v>1183</v>
      </c>
      <c r="J259" s="496"/>
      <c r="K259" s="1409"/>
      <c r="L259" s="135"/>
      <c r="M259" s="6677"/>
      <c r="N259" s="261"/>
      <c r="O259" s="1535"/>
      <c r="P259" s="1535"/>
    </row>
    <row r="260" spans="1:16" s="2045" customFormat="1" ht="0.75" hidden="1" customHeight="1">
      <c r="A260" s="1689"/>
      <c r="B260" s="1689"/>
      <c r="C260" s="297" t="s">
        <v>1191</v>
      </c>
      <c r="D260" s="6909"/>
      <c r="E260" s="6717"/>
      <c r="F260" s="6852"/>
      <c r="G260" s="334"/>
      <c r="H260" s="1409"/>
      <c r="I260" s="572"/>
      <c r="J260" s="496"/>
      <c r="K260" s="1409"/>
      <c r="L260" s="135"/>
      <c r="M260" s="6677"/>
      <c r="N260" s="261"/>
      <c r="O260" s="1535"/>
      <c r="P260" s="1535"/>
    </row>
    <row r="261" spans="1:16" s="2045" customFormat="1" ht="45" hidden="1" customHeight="1">
      <c r="A261" s="1689" t="s">
        <v>223</v>
      </c>
      <c r="B261" s="1689" t="s">
        <v>224</v>
      </c>
      <c r="C261" s="297"/>
      <c r="D261" s="6909"/>
      <c r="E261" s="6717"/>
      <c r="F261" s="6852"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6881" t="str">
        <f>INDEX(PT_DIFFERENTIATION_NTAR,MATCH(B261,PT_DIFFERENTIATION_NTAR_ID,0))</f>
        <v>Тариф на тепловую энергию (мощность), поставляемую потребителям</v>
      </c>
      <c r="H261" s="1771"/>
      <c r="I261" s="1647"/>
      <c r="J261" s="1682"/>
      <c r="K261" s="1687"/>
      <c r="L261" s="1771" t="s">
        <v>424</v>
      </c>
      <c r="M261" s="6678"/>
      <c r="N261" s="261"/>
      <c r="O261" s="1535"/>
      <c r="P261" s="1535"/>
    </row>
    <row r="262" spans="1:16" s="2045" customFormat="1" ht="18.75" hidden="1" customHeight="1">
      <c r="A262" s="1689"/>
      <c r="B262" s="1689"/>
      <c r="C262" s="297" t="s">
        <v>1184</v>
      </c>
      <c r="D262" s="6909"/>
      <c r="E262" s="6717"/>
      <c r="F262" s="6852"/>
      <c r="G262" s="6881"/>
      <c r="H262" s="1409"/>
      <c r="I262" s="572" t="s">
        <v>1183</v>
      </c>
      <c r="J262" s="496"/>
      <c r="K262" s="1409"/>
      <c r="L262" s="135"/>
      <c r="M262" s="1770"/>
      <c r="N262" s="261"/>
      <c r="O262" s="1535"/>
      <c r="P262" s="1535"/>
    </row>
    <row r="263" spans="1:16" s="2045" customFormat="1" ht="0.75" hidden="1" customHeight="1">
      <c r="A263" s="1689"/>
      <c r="B263" s="1689"/>
      <c r="C263" s="297" t="s">
        <v>1191</v>
      </c>
      <c r="D263" s="6909"/>
      <c r="E263" s="6717"/>
      <c r="F263" s="6852"/>
      <c r="G263" s="334"/>
      <c r="H263" s="1409"/>
      <c r="I263" s="572"/>
      <c r="J263" s="496"/>
      <c r="K263" s="1409"/>
      <c r="L263" s="135"/>
      <c r="M263" s="268"/>
      <c r="N263" s="261"/>
      <c r="O263" s="1535"/>
      <c r="P263" s="1535"/>
    </row>
    <row r="264" spans="1:16" s="2045" customFormat="1" ht="45" hidden="1" customHeight="1">
      <c r="A264" s="1689" t="s">
        <v>277</v>
      </c>
      <c r="B264" s="1689" t="s">
        <v>278</v>
      </c>
      <c r="C264" s="297"/>
      <c r="D264" s="6909"/>
      <c r="E264" s="6717"/>
      <c r="F264" s="6852"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6881" t="str">
        <f>INDEX(PT_DIFFERENTIATION_NTAR,MATCH(B264,PT_DIFFERENTIATION_NTAR_ID,0))</f>
        <v>Тариф на теплоноситель, поставляемый потребителям</v>
      </c>
      <c r="H264" s="1771"/>
      <c r="I264" s="1647"/>
      <c r="J264" s="1682"/>
      <c r="K264" s="1687"/>
      <c r="L264" s="1771" t="s">
        <v>424</v>
      </c>
      <c r="M264" s="268"/>
      <c r="N264" s="261"/>
      <c r="O264" s="1535"/>
      <c r="P264" s="1535"/>
    </row>
    <row r="265" spans="1:16" s="2045" customFormat="1" ht="18.75" hidden="1" customHeight="1">
      <c r="A265" s="1689"/>
      <c r="B265" s="1689"/>
      <c r="C265" s="297" t="s">
        <v>1184</v>
      </c>
      <c r="D265" s="6909"/>
      <c r="E265" s="6717"/>
      <c r="F265" s="6852"/>
      <c r="G265" s="6881"/>
      <c r="H265" s="1409"/>
      <c r="I265" s="572" t="s">
        <v>1183</v>
      </c>
      <c r="J265" s="496"/>
      <c r="K265" s="1409"/>
      <c r="L265" s="135"/>
      <c r="M265" s="268"/>
      <c r="N265" s="261"/>
      <c r="O265" s="1535"/>
      <c r="P265" s="1535"/>
    </row>
    <row r="266" spans="1:16" s="2045" customFormat="1" ht="0.75" hidden="1" customHeight="1">
      <c r="A266" s="1689"/>
      <c r="B266" s="1689"/>
      <c r="C266" s="297" t="s">
        <v>1191</v>
      </c>
      <c r="D266" s="6909"/>
      <c r="E266" s="6717"/>
      <c r="F266" s="6852"/>
      <c r="G266" s="334"/>
      <c r="H266" s="1409"/>
      <c r="I266" s="572"/>
      <c r="J266" s="496"/>
      <c r="K266" s="1409"/>
      <c r="L266" s="135"/>
      <c r="M266" s="268"/>
      <c r="N266" s="261"/>
      <c r="O266" s="1535"/>
      <c r="P266" s="1535"/>
    </row>
    <row r="267" spans="1:16" s="2045" customFormat="1" ht="45" hidden="1" customHeight="1">
      <c r="A267" s="1689" t="s">
        <v>294</v>
      </c>
      <c r="B267" s="1689" t="s">
        <v>295</v>
      </c>
      <c r="C267" s="297"/>
      <c r="D267" s="6909"/>
      <c r="E267" s="6717"/>
      <c r="F267" s="6852"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6881" t="str">
        <f>INDEX(PT_DIFFERENTIATION_NTAR,MATCH(B267,PT_DIFFERENTIATION_NTAR_ID,0))</f>
        <v>Тариф на горячую воду, поставляемую потребителям в открытой системе теплоснабжения (горячее водоснабжение)</v>
      </c>
      <c r="H267" s="1771"/>
      <c r="I267" s="1647"/>
      <c r="J267" s="1682"/>
      <c r="K267" s="1687"/>
      <c r="L267" s="1771" t="s">
        <v>424</v>
      </c>
      <c r="M267" s="268"/>
      <c r="N267" s="261"/>
      <c r="O267" s="1535"/>
      <c r="P267" s="1535"/>
    </row>
    <row r="268" spans="1:16" s="2045" customFormat="1" ht="18.75" hidden="1" customHeight="1">
      <c r="A268" s="1689"/>
      <c r="B268" s="1689"/>
      <c r="C268" s="297" t="s">
        <v>1184</v>
      </c>
      <c r="D268" s="6909"/>
      <c r="E268" s="6717"/>
      <c r="F268" s="6852"/>
      <c r="G268" s="6881"/>
      <c r="H268" s="1409"/>
      <c r="I268" s="572" t="s">
        <v>1183</v>
      </c>
      <c r="J268" s="496"/>
      <c r="K268" s="1409"/>
      <c r="L268" s="135"/>
      <c r="M268" s="268"/>
      <c r="N268" s="261"/>
      <c r="O268" s="1535"/>
      <c r="P268" s="1535"/>
    </row>
    <row r="269" spans="1:16" s="2045" customFormat="1" ht="0.75" hidden="1" customHeight="1">
      <c r="A269" s="1689"/>
      <c r="B269" s="1689"/>
      <c r="C269" s="297" t="s">
        <v>1191</v>
      </c>
      <c r="D269" s="6909"/>
      <c r="E269" s="6717"/>
      <c r="F269" s="6852"/>
      <c r="G269" s="334"/>
      <c r="H269" s="1409"/>
      <c r="I269" s="572"/>
      <c r="J269" s="496"/>
      <c r="K269" s="1409"/>
      <c r="L269" s="135"/>
      <c r="M269" s="268"/>
      <c r="N269" s="261"/>
      <c r="O269" s="1535"/>
      <c r="P269" s="1535"/>
    </row>
    <row r="270" spans="1:16" s="2045" customFormat="1" ht="18.75" hidden="1" customHeight="1">
      <c r="A270" s="1689" t="s">
        <v>309</v>
      </c>
      <c r="B270" s="1689" t="s">
        <v>310</v>
      </c>
      <c r="C270" s="297"/>
      <c r="D270" s="6909"/>
      <c r="E270" s="6717"/>
      <c r="F270" s="6852" t="str">
        <f>INDEX(PT_DIFFERENTIATION_VTAR,MATCH(A270,PT_DIFFERENTIATION_VTAR_ID,0))</f>
        <v>Тарифы на услуги по передаче тепловой энергии</v>
      </c>
      <c r="G270" s="6881" t="str">
        <f>INDEX(PT_DIFFERENTIATION_NTAR,MATCH(B270,PT_DIFFERENTIATION_NTAR_ID,0))</f>
        <v/>
      </c>
      <c r="H270" s="1771"/>
      <c r="I270" s="1647"/>
      <c r="J270" s="1682"/>
      <c r="K270" s="1687"/>
      <c r="L270" s="1771" t="s">
        <v>424</v>
      </c>
      <c r="M270" s="268"/>
      <c r="N270" s="261"/>
      <c r="O270" s="1535"/>
      <c r="P270" s="1535"/>
    </row>
    <row r="271" spans="1:16" s="2045" customFormat="1" ht="18.75" hidden="1" customHeight="1">
      <c r="A271" s="1689"/>
      <c r="B271" s="1689"/>
      <c r="C271" s="297" t="s">
        <v>1184</v>
      </c>
      <c r="D271" s="6909"/>
      <c r="E271" s="6717"/>
      <c r="F271" s="6852"/>
      <c r="G271" s="6881"/>
      <c r="H271" s="1409"/>
      <c r="I271" s="572" t="s">
        <v>1183</v>
      </c>
      <c r="J271" s="496"/>
      <c r="K271" s="1409"/>
      <c r="L271" s="135"/>
      <c r="M271" s="268"/>
      <c r="N271" s="261"/>
      <c r="O271" s="1535"/>
      <c r="P271" s="1535"/>
    </row>
    <row r="272" spans="1:16" s="2045" customFormat="1" ht="0.75" hidden="1" customHeight="1">
      <c r="A272" s="1689"/>
      <c r="B272" s="1689"/>
      <c r="C272" s="297" t="s">
        <v>1191</v>
      </c>
      <c r="D272" s="6909"/>
      <c r="E272" s="6717"/>
      <c r="F272" s="6852"/>
      <c r="G272" s="334"/>
      <c r="H272" s="1409"/>
      <c r="I272" s="572"/>
      <c r="J272" s="496"/>
      <c r="K272" s="1409"/>
      <c r="L272" s="135"/>
      <c r="M272" s="268"/>
      <c r="N272" s="261"/>
      <c r="O272" s="1535"/>
      <c r="P272" s="1535"/>
    </row>
    <row r="273" spans="1:16" s="2045" customFormat="1" ht="18.75" hidden="1" customHeight="1">
      <c r="A273" s="1689" t="s">
        <v>315</v>
      </c>
      <c r="B273" s="1689" t="s">
        <v>316</v>
      </c>
      <c r="C273" s="297"/>
      <c r="D273" s="6909"/>
      <c r="E273" s="6717"/>
      <c r="F273" s="6852" t="str">
        <f>INDEX(PT_DIFFERENTIATION_VTAR,MATCH(A273,PT_DIFFERENTIATION_VTAR_ID,0))</f>
        <v>Тарифы на услуги по передаче теплоносителя</v>
      </c>
      <c r="G273" s="6881" t="str">
        <f>INDEX(PT_DIFFERENTIATION_NTAR,MATCH(B273,PT_DIFFERENTIATION_NTAR_ID,0))</f>
        <v/>
      </c>
      <c r="H273" s="1771"/>
      <c r="I273" s="1647"/>
      <c r="J273" s="1682"/>
      <c r="K273" s="1687"/>
      <c r="L273" s="1771" t="s">
        <v>424</v>
      </c>
      <c r="M273" s="268"/>
      <c r="N273" s="261"/>
      <c r="O273" s="1535"/>
      <c r="P273" s="1535"/>
    </row>
    <row r="274" spans="1:16" s="2045" customFormat="1" ht="18.75" hidden="1" customHeight="1">
      <c r="A274" s="1689"/>
      <c r="B274" s="1689"/>
      <c r="C274" s="297" t="s">
        <v>1184</v>
      </c>
      <c r="D274" s="6909"/>
      <c r="E274" s="6717"/>
      <c r="F274" s="6852"/>
      <c r="G274" s="6881"/>
      <c r="H274" s="1409"/>
      <c r="I274" s="572" t="s">
        <v>1183</v>
      </c>
      <c r="J274" s="496"/>
      <c r="K274" s="1409"/>
      <c r="L274" s="135"/>
      <c r="M274" s="268"/>
      <c r="N274" s="261"/>
      <c r="O274" s="1535"/>
      <c r="P274" s="1535"/>
    </row>
    <row r="275" spans="1:16" s="2045" customFormat="1" ht="0.75" hidden="1" customHeight="1">
      <c r="A275" s="1689"/>
      <c r="B275" s="1689"/>
      <c r="C275" s="297" t="s">
        <v>1191</v>
      </c>
      <c r="D275" s="6909"/>
      <c r="E275" s="6717"/>
      <c r="F275" s="6852"/>
      <c r="G275" s="334"/>
      <c r="H275" s="1409"/>
      <c r="I275" s="572"/>
      <c r="J275" s="496"/>
      <c r="K275" s="1409"/>
      <c r="L275" s="135"/>
      <c r="M275" s="268"/>
      <c r="N275" s="261"/>
      <c r="O275" s="1535"/>
      <c r="P275" s="1535"/>
    </row>
    <row r="276" spans="1:16" s="2045" customFormat="1" ht="18.75" hidden="1" customHeight="1">
      <c r="A276" s="1689" t="s">
        <v>321</v>
      </c>
      <c r="B276" s="1689" t="s">
        <v>322</v>
      </c>
      <c r="C276" s="297"/>
      <c r="D276" s="6909"/>
      <c r="E276" s="6717"/>
      <c r="F276" s="6852" t="str">
        <f>INDEX(PT_DIFFERENTIATION_VTAR,MATCH(A276,PT_DIFFERENTIATION_VTAR_ID,0))</f>
        <v>Плата за услуги по поддержанию резервной тепловой мощности при отсутствии потребления тепловой энергии</v>
      </c>
      <c r="G276" s="6881" t="str">
        <f>INDEX(PT_DIFFERENTIATION_NTAR,MATCH(B276,PT_DIFFERENTIATION_NTAR_ID,0))</f>
        <v/>
      </c>
      <c r="H276" s="1771"/>
      <c r="I276" s="1647"/>
      <c r="J276" s="1682"/>
      <c r="K276" s="1687"/>
      <c r="L276" s="1771" t="s">
        <v>424</v>
      </c>
      <c r="M276" s="268"/>
      <c r="N276" s="261"/>
      <c r="O276" s="1535"/>
      <c r="P276" s="1535"/>
    </row>
    <row r="277" spans="1:16" s="2045" customFormat="1" ht="18.75" hidden="1" customHeight="1">
      <c r="A277" s="1689"/>
      <c r="B277" s="1689"/>
      <c r="C277" s="297" t="s">
        <v>1184</v>
      </c>
      <c r="D277" s="6909"/>
      <c r="E277" s="6717"/>
      <c r="F277" s="6852"/>
      <c r="G277" s="6881"/>
      <c r="H277" s="1409"/>
      <c r="I277" s="572" t="s">
        <v>1183</v>
      </c>
      <c r="J277" s="496"/>
      <c r="K277" s="1409"/>
      <c r="L277" s="135"/>
      <c r="M277" s="268"/>
      <c r="N277" s="261"/>
      <c r="O277" s="1535"/>
      <c r="P277" s="1535"/>
    </row>
    <row r="278" spans="1:16" s="2045" customFormat="1" ht="0.75" hidden="1" customHeight="1">
      <c r="A278" s="1689"/>
      <c r="B278" s="1689"/>
      <c r="C278" s="297" t="s">
        <v>1191</v>
      </c>
      <c r="D278" s="6909"/>
      <c r="E278" s="6717"/>
      <c r="F278" s="6852"/>
      <c r="G278" s="334"/>
      <c r="H278" s="1409"/>
      <c r="I278" s="572"/>
      <c r="J278" s="496"/>
      <c r="K278" s="1409"/>
      <c r="L278" s="135"/>
      <c r="M278" s="268"/>
      <c r="N278" s="261"/>
      <c r="O278" s="1535"/>
      <c r="P278" s="1535"/>
    </row>
    <row r="279" spans="1:16" s="2045" customFormat="1" ht="18.75" hidden="1" customHeight="1">
      <c r="A279" s="1689" t="s">
        <v>329</v>
      </c>
      <c r="B279" s="1689" t="s">
        <v>330</v>
      </c>
      <c r="C279" s="297"/>
      <c r="D279" s="6909"/>
      <c r="E279" s="6717"/>
      <c r="F279" s="6852" t="str">
        <f>INDEX(PT_DIFFERENTIATION_VTAR,MATCH(A279,PT_DIFFERENTIATION_VTAR_ID,0))</f>
        <v>Плата за подключение (технологическое присоединение) к системе теплоснабжения</v>
      </c>
      <c r="G279" s="6881" t="str">
        <f>INDEX(PT_DIFFERENTIATION_NTAR,MATCH(B279,PT_DIFFERENTIATION_NTAR_ID,0))</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H279" s="1771"/>
      <c r="I279" s="1647"/>
      <c r="J279" s="1682"/>
      <c r="K279" s="1687"/>
      <c r="L279" s="1771" t="s">
        <v>424</v>
      </c>
      <c r="M279" s="268"/>
      <c r="N279" s="261"/>
      <c r="O279" s="1535"/>
      <c r="P279" s="1535"/>
    </row>
    <row r="280" spans="1:16" s="2045" customFormat="1" ht="18.75" hidden="1" customHeight="1">
      <c r="A280" s="1689"/>
      <c r="B280" s="1689"/>
      <c r="C280" s="297" t="s">
        <v>1184</v>
      </c>
      <c r="D280" s="6909"/>
      <c r="E280" s="6717"/>
      <c r="F280" s="6852"/>
      <c r="G280" s="6881"/>
      <c r="H280" s="1409"/>
      <c r="I280" s="572" t="s">
        <v>1183</v>
      </c>
      <c r="J280" s="496"/>
      <c r="K280" s="1409"/>
      <c r="L280" s="135"/>
      <c r="M280" s="268"/>
      <c r="N280" s="261"/>
      <c r="O280" s="1535"/>
      <c r="P280" s="1535"/>
    </row>
    <row r="281" spans="1:16" s="2045" customFormat="1" ht="0.75" hidden="1" customHeight="1">
      <c r="A281" s="1689"/>
      <c r="B281" s="1689"/>
      <c r="C281" s="297" t="s">
        <v>1191</v>
      </c>
      <c r="D281" s="6909"/>
      <c r="E281" s="6717"/>
      <c r="F281" s="6852"/>
      <c r="G281" s="334"/>
      <c r="H281" s="1409"/>
      <c r="I281" s="572"/>
      <c r="J281" s="496"/>
      <c r="K281" s="1409"/>
      <c r="L281" s="135"/>
      <c r="M281" s="268"/>
      <c r="N281" s="261"/>
      <c r="O281" s="1535"/>
      <c r="P281" s="1535"/>
    </row>
    <row r="282" spans="1:16" s="2045" customFormat="1" ht="18.75" hidden="1" customHeight="1">
      <c r="A282" s="1689" t="s">
        <v>343</v>
      </c>
      <c r="B282" s="1689" t="s">
        <v>344</v>
      </c>
      <c r="C282" s="297"/>
      <c r="D282" s="6909"/>
      <c r="E282" s="6717"/>
      <c r="F282" s="6852" t="str">
        <f>INDEX(PT_DIFFERENTIATION_VTAR,MATCH(A282,PT_DIFFERENTIATION_VTAR_ID,0))</f>
        <v>Тариф на питьевую воду (питьевое водоснабжение)</v>
      </c>
      <c r="G282" s="6881" t="str">
        <f>INDEX(PT_DIFFERENTIATION_NTAR,MATCH(B282,PT_DIFFERENTIATION_NTAR_ID,0))</f>
        <v/>
      </c>
      <c r="H282" s="1771"/>
      <c r="I282" s="1647"/>
      <c r="J282" s="1682"/>
      <c r="K282" s="1687"/>
      <c r="L282" s="1771" t="s">
        <v>424</v>
      </c>
      <c r="M282" s="268"/>
      <c r="N282" s="261"/>
      <c r="O282" s="1535"/>
      <c r="P282" s="1535"/>
    </row>
    <row r="283" spans="1:16" s="2045" customFormat="1" ht="18.75" hidden="1" customHeight="1">
      <c r="A283" s="1689"/>
      <c r="B283" s="1689"/>
      <c r="C283" s="297" t="s">
        <v>1184</v>
      </c>
      <c r="D283" s="6909"/>
      <c r="E283" s="6717"/>
      <c r="F283" s="6852"/>
      <c r="G283" s="6881"/>
      <c r="H283" s="1409"/>
      <c r="I283" s="572" t="s">
        <v>1183</v>
      </c>
      <c r="J283" s="496"/>
      <c r="K283" s="1409"/>
      <c r="L283" s="135"/>
      <c r="M283" s="268"/>
      <c r="N283" s="261"/>
      <c r="O283" s="1535"/>
      <c r="P283" s="1535"/>
    </row>
    <row r="284" spans="1:16" s="2045" customFormat="1" ht="0.75" hidden="1" customHeight="1">
      <c r="A284" s="1689"/>
      <c r="B284" s="1689"/>
      <c r="C284" s="297" t="s">
        <v>1191</v>
      </c>
      <c r="D284" s="6909"/>
      <c r="E284" s="6717"/>
      <c r="F284" s="6852"/>
      <c r="G284" s="334"/>
      <c r="H284" s="1409"/>
      <c r="I284" s="572"/>
      <c r="J284" s="496"/>
      <c r="K284" s="1409"/>
      <c r="L284" s="135"/>
      <c r="M284" s="268"/>
      <c r="N284" s="261"/>
      <c r="O284" s="1535"/>
      <c r="P284" s="1535"/>
    </row>
    <row r="285" spans="1:16" s="2045" customFormat="1" ht="18.75" hidden="1" customHeight="1">
      <c r="A285" s="1689" t="s">
        <v>348</v>
      </c>
      <c r="B285" s="1689" t="s">
        <v>349</v>
      </c>
      <c r="C285" s="297"/>
      <c r="D285" s="6909"/>
      <c r="E285" s="6717"/>
      <c r="F285" s="6852" t="str">
        <f>INDEX(PT_DIFFERENTIATION_VTAR,MATCH(A285,PT_DIFFERENTIATION_VTAR_ID,0))</f>
        <v>Тариф на техническую воду</v>
      </c>
      <c r="G285" s="6881" t="str">
        <f>INDEX(PT_DIFFERENTIATION_NTAR,MATCH(B285,PT_DIFFERENTIATION_NTAR_ID,0))</f>
        <v/>
      </c>
      <c r="H285" s="1771"/>
      <c r="I285" s="1647"/>
      <c r="J285" s="1682"/>
      <c r="K285" s="1687"/>
      <c r="L285" s="1771" t="s">
        <v>424</v>
      </c>
      <c r="M285" s="268"/>
      <c r="N285" s="261"/>
      <c r="O285" s="1535"/>
      <c r="P285" s="1535"/>
    </row>
    <row r="286" spans="1:16" s="2045" customFormat="1" ht="18.75" hidden="1" customHeight="1">
      <c r="A286" s="1689"/>
      <c r="B286" s="1689"/>
      <c r="C286" s="297" t="s">
        <v>1184</v>
      </c>
      <c r="D286" s="6909"/>
      <c r="E286" s="6717"/>
      <c r="F286" s="6852"/>
      <c r="G286" s="6881"/>
      <c r="H286" s="1409"/>
      <c r="I286" s="572" t="s">
        <v>1183</v>
      </c>
      <c r="J286" s="496"/>
      <c r="K286" s="1409"/>
      <c r="L286" s="135"/>
      <c r="M286" s="268"/>
      <c r="N286" s="261"/>
      <c r="O286" s="1535"/>
      <c r="P286" s="1535"/>
    </row>
    <row r="287" spans="1:16" s="2045" customFormat="1" ht="0.75" hidden="1" customHeight="1">
      <c r="A287" s="1689"/>
      <c r="B287" s="1689"/>
      <c r="C287" s="297" t="s">
        <v>1191</v>
      </c>
      <c r="D287" s="6909"/>
      <c r="E287" s="6717"/>
      <c r="F287" s="6852"/>
      <c r="G287" s="334"/>
      <c r="H287" s="1409"/>
      <c r="I287" s="572"/>
      <c r="J287" s="496"/>
      <c r="K287" s="1409"/>
      <c r="L287" s="135"/>
      <c r="M287" s="268"/>
      <c r="N287" s="261"/>
      <c r="O287" s="1535"/>
      <c r="P287" s="1535"/>
    </row>
    <row r="288" spans="1:16" s="2045" customFormat="1" ht="18.75" hidden="1" customHeight="1">
      <c r="A288" s="1689" t="s">
        <v>353</v>
      </c>
      <c r="B288" s="1689" t="s">
        <v>354</v>
      </c>
      <c r="C288" s="297"/>
      <c r="D288" s="6909"/>
      <c r="E288" s="6717"/>
      <c r="F288" s="6852" t="str">
        <f>INDEX(PT_DIFFERENTIATION_VTAR,MATCH(A288,PT_DIFFERENTIATION_VTAR_ID,0))</f>
        <v>Тариф на транспортировку воды</v>
      </c>
      <c r="G288" s="6881" t="str">
        <f>INDEX(PT_DIFFERENTIATION_NTAR,MATCH(B288,PT_DIFFERENTIATION_NTAR_ID,0))</f>
        <v/>
      </c>
      <c r="H288" s="1771"/>
      <c r="I288" s="1647"/>
      <c r="J288" s="1682"/>
      <c r="K288" s="1687"/>
      <c r="L288" s="1771" t="s">
        <v>424</v>
      </c>
      <c r="M288" s="268"/>
      <c r="N288" s="261"/>
      <c r="O288" s="1535"/>
      <c r="P288" s="1535"/>
    </row>
    <row r="289" spans="1:16" s="2045" customFormat="1" ht="18.75" hidden="1" customHeight="1">
      <c r="A289" s="1689"/>
      <c r="B289" s="1689"/>
      <c r="C289" s="297" t="s">
        <v>1184</v>
      </c>
      <c r="D289" s="6909"/>
      <c r="E289" s="6717"/>
      <c r="F289" s="6852"/>
      <c r="G289" s="6881"/>
      <c r="H289" s="1409"/>
      <c r="I289" s="572" t="s">
        <v>1183</v>
      </c>
      <c r="J289" s="496"/>
      <c r="K289" s="1409"/>
      <c r="L289" s="135"/>
      <c r="M289" s="268"/>
      <c r="N289" s="261"/>
      <c r="O289" s="1535"/>
      <c r="P289" s="1535"/>
    </row>
    <row r="290" spans="1:16" s="2045" customFormat="1" ht="0.75" hidden="1" customHeight="1">
      <c r="A290" s="1689"/>
      <c r="B290" s="1689"/>
      <c r="C290" s="297" t="s">
        <v>1191</v>
      </c>
      <c r="D290" s="6909"/>
      <c r="E290" s="6717"/>
      <c r="F290" s="6852"/>
      <c r="G290" s="334"/>
      <c r="H290" s="1409"/>
      <c r="I290" s="572"/>
      <c r="J290" s="496"/>
      <c r="K290" s="1409"/>
      <c r="L290" s="135"/>
      <c r="M290" s="268"/>
      <c r="N290" s="261"/>
      <c r="O290" s="1535"/>
      <c r="P290" s="1535"/>
    </row>
    <row r="291" spans="1:16" s="2045" customFormat="1" ht="18.75" hidden="1" customHeight="1">
      <c r="A291" s="1689" t="s">
        <v>358</v>
      </c>
      <c r="B291" s="1689" t="s">
        <v>359</v>
      </c>
      <c r="C291" s="297"/>
      <c r="D291" s="6909"/>
      <c r="E291" s="6717"/>
      <c r="F291" s="6852" t="str">
        <f>INDEX(PT_DIFFERENTIATION_VTAR,MATCH(A291,PT_DIFFERENTIATION_VTAR_ID,0))</f>
        <v>Тариф на подвоз воды</v>
      </c>
      <c r="G291" s="6881" t="str">
        <f>INDEX(PT_DIFFERENTIATION_NTAR,MATCH(B291,PT_DIFFERENTIATION_NTAR_ID,0))</f>
        <v/>
      </c>
      <c r="H291" s="1771"/>
      <c r="I291" s="1647"/>
      <c r="J291" s="1682"/>
      <c r="K291" s="1687"/>
      <c r="L291" s="1771" t="s">
        <v>424</v>
      </c>
      <c r="M291" s="268"/>
      <c r="N291" s="261"/>
      <c r="O291" s="1535"/>
      <c r="P291" s="1535"/>
    </row>
    <row r="292" spans="1:16" s="2045" customFormat="1" ht="18.75" hidden="1" customHeight="1">
      <c r="A292" s="1689"/>
      <c r="B292" s="1689"/>
      <c r="C292" s="297" t="s">
        <v>1184</v>
      </c>
      <c r="D292" s="6909"/>
      <c r="E292" s="6717"/>
      <c r="F292" s="6852"/>
      <c r="G292" s="6881"/>
      <c r="H292" s="1409"/>
      <c r="I292" s="572" t="s">
        <v>1183</v>
      </c>
      <c r="J292" s="496"/>
      <c r="K292" s="1409"/>
      <c r="L292" s="135"/>
      <c r="M292" s="268"/>
      <c r="N292" s="261"/>
      <c r="O292" s="1535"/>
      <c r="P292" s="1535"/>
    </row>
    <row r="293" spans="1:16" s="2045" customFormat="1" ht="0.75" hidden="1" customHeight="1">
      <c r="A293" s="1689"/>
      <c r="B293" s="1689"/>
      <c r="C293" s="297" t="s">
        <v>1191</v>
      </c>
      <c r="D293" s="6909"/>
      <c r="E293" s="6717"/>
      <c r="F293" s="6852"/>
      <c r="G293" s="334"/>
      <c r="H293" s="1409"/>
      <c r="I293" s="572"/>
      <c r="J293" s="496"/>
      <c r="K293" s="1409"/>
      <c r="L293" s="135"/>
      <c r="M293" s="268"/>
      <c r="N293" s="261"/>
      <c r="O293" s="1535"/>
      <c r="P293" s="1535"/>
    </row>
    <row r="294" spans="1:16" s="2045" customFormat="1" ht="18.75" hidden="1" customHeight="1">
      <c r="A294" s="1689" t="s">
        <v>363</v>
      </c>
      <c r="B294" s="1689" t="s">
        <v>364</v>
      </c>
      <c r="C294" s="297"/>
      <c r="D294" s="6909"/>
      <c r="E294" s="6717"/>
      <c r="F294" s="6852"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6881" t="str">
        <f>INDEX(PT_DIFFERENTIATION_NTAR,MATCH(B294,PT_DIFFERENTIATION_NTAR_ID,0))</f>
        <v/>
      </c>
      <c r="H294" s="1771"/>
      <c r="I294" s="1647"/>
      <c r="J294" s="1682"/>
      <c r="K294" s="1687"/>
      <c r="L294" s="1771" t="s">
        <v>424</v>
      </c>
      <c r="M294" s="268"/>
      <c r="N294" s="261"/>
      <c r="O294" s="1535"/>
      <c r="P294" s="1535"/>
    </row>
    <row r="295" spans="1:16" s="2045" customFormat="1" ht="18.75" hidden="1" customHeight="1">
      <c r="A295" s="1689"/>
      <c r="B295" s="1689"/>
      <c r="C295" s="297" t="s">
        <v>1184</v>
      </c>
      <c r="D295" s="6909"/>
      <c r="E295" s="6717"/>
      <c r="F295" s="6852"/>
      <c r="G295" s="6881"/>
      <c r="H295" s="1409"/>
      <c r="I295" s="572" t="s">
        <v>1183</v>
      </c>
      <c r="J295" s="496"/>
      <c r="K295" s="1409"/>
      <c r="L295" s="135"/>
      <c r="M295" s="268"/>
      <c r="N295" s="261"/>
      <c r="O295" s="1535"/>
      <c r="P295" s="1535"/>
    </row>
    <row r="296" spans="1:16" s="2045" customFormat="1" ht="0.75" hidden="1" customHeight="1">
      <c r="A296" s="1689"/>
      <c r="B296" s="1689"/>
      <c r="C296" s="297" t="s">
        <v>1191</v>
      </c>
      <c r="D296" s="6909"/>
      <c r="E296" s="6717"/>
      <c r="F296" s="6852"/>
      <c r="G296" s="334"/>
      <c r="H296" s="1409"/>
      <c r="I296" s="572"/>
      <c r="J296" s="496"/>
      <c r="K296" s="1409"/>
      <c r="L296" s="135"/>
      <c r="M296" s="268"/>
      <c r="N296" s="261"/>
      <c r="O296" s="1535"/>
      <c r="P296" s="1535"/>
    </row>
    <row r="297" spans="1:16" s="2045" customFormat="1" ht="18.75" hidden="1" customHeight="1">
      <c r="A297" s="1689" t="s">
        <v>368</v>
      </c>
      <c r="B297" s="1689" t="s">
        <v>369</v>
      </c>
      <c r="C297" s="297"/>
      <c r="D297" s="6909"/>
      <c r="E297" s="6717"/>
      <c r="F297" s="6852" t="str">
        <f>INDEX(PT_DIFFERENTIATION_VTAR,MATCH(A297,PT_DIFFERENTIATION_VTAR_ID,0))</f>
        <v>Тариф на горячую воду (горячее водоснабжение)</v>
      </c>
      <c r="G297" s="6881" t="str">
        <f>INDEX(PT_DIFFERENTIATION_NTAR,MATCH(B297,PT_DIFFERENTIATION_NTAR_ID,0))</f>
        <v/>
      </c>
      <c r="H297" s="1771"/>
      <c r="I297" s="1647"/>
      <c r="J297" s="1682"/>
      <c r="K297" s="1687"/>
      <c r="L297" s="1771" t="s">
        <v>424</v>
      </c>
      <c r="M297" s="268"/>
      <c r="N297" s="261"/>
      <c r="O297" s="1535"/>
      <c r="P297" s="1535"/>
    </row>
    <row r="298" spans="1:16" s="2045" customFormat="1" ht="18.75" hidden="1" customHeight="1">
      <c r="A298" s="1689"/>
      <c r="B298" s="1689"/>
      <c r="C298" s="297" t="s">
        <v>1184</v>
      </c>
      <c r="D298" s="6909"/>
      <c r="E298" s="6717"/>
      <c r="F298" s="6852"/>
      <c r="G298" s="6881"/>
      <c r="H298" s="1409"/>
      <c r="I298" s="572" t="s">
        <v>1183</v>
      </c>
      <c r="J298" s="496"/>
      <c r="K298" s="1409"/>
      <c r="L298" s="135"/>
      <c r="M298" s="268"/>
      <c r="N298" s="261"/>
      <c r="O298" s="1535"/>
      <c r="P298" s="1535"/>
    </row>
    <row r="299" spans="1:16" s="2045" customFormat="1" ht="0.75" hidden="1" customHeight="1">
      <c r="A299" s="1689"/>
      <c r="B299" s="1689"/>
      <c r="C299" s="297" t="s">
        <v>1191</v>
      </c>
      <c r="D299" s="6909"/>
      <c r="E299" s="6717"/>
      <c r="F299" s="6852"/>
      <c r="G299" s="334"/>
      <c r="H299" s="1409"/>
      <c r="I299" s="572"/>
      <c r="J299" s="496"/>
      <c r="K299" s="1409"/>
      <c r="L299" s="135"/>
      <c r="M299" s="268"/>
      <c r="N299" s="261"/>
      <c r="O299" s="1535"/>
      <c r="P299" s="1535"/>
    </row>
    <row r="300" spans="1:16" s="2045" customFormat="1" ht="18.75" hidden="1" customHeight="1">
      <c r="A300" s="1689" t="s">
        <v>373</v>
      </c>
      <c r="B300" s="1689" t="s">
        <v>374</v>
      </c>
      <c r="C300" s="297"/>
      <c r="D300" s="6909"/>
      <c r="E300" s="6717"/>
      <c r="F300" s="6852" t="str">
        <f>INDEX(PT_DIFFERENTIATION_VTAR,MATCH(A300,PT_DIFFERENTIATION_VTAR_ID,0))</f>
        <v>Тариф на транспортировку горячей воды</v>
      </c>
      <c r="G300" s="6881" t="str">
        <f>INDEX(PT_DIFFERENTIATION_NTAR,MATCH(B300,PT_DIFFERENTIATION_NTAR_ID,0))</f>
        <v/>
      </c>
      <c r="H300" s="1771"/>
      <c r="I300" s="1647"/>
      <c r="J300" s="1682"/>
      <c r="K300" s="1687"/>
      <c r="L300" s="1771" t="s">
        <v>424</v>
      </c>
      <c r="M300" s="268"/>
      <c r="N300" s="261"/>
      <c r="O300" s="1535"/>
      <c r="P300" s="1535"/>
    </row>
    <row r="301" spans="1:16" s="2045" customFormat="1" ht="18.75" hidden="1" customHeight="1">
      <c r="A301" s="1689"/>
      <c r="B301" s="1689"/>
      <c r="C301" s="297" t="s">
        <v>1184</v>
      </c>
      <c r="D301" s="6909"/>
      <c r="E301" s="6717"/>
      <c r="F301" s="6852"/>
      <c r="G301" s="6881"/>
      <c r="H301" s="1409"/>
      <c r="I301" s="572" t="s">
        <v>1183</v>
      </c>
      <c r="J301" s="496"/>
      <c r="K301" s="1409"/>
      <c r="L301" s="135"/>
      <c r="M301" s="268"/>
      <c r="N301" s="261"/>
      <c r="O301" s="1535"/>
      <c r="P301" s="1535"/>
    </row>
    <row r="302" spans="1:16" s="2045" customFormat="1" ht="0.75" hidden="1" customHeight="1">
      <c r="A302" s="1689"/>
      <c r="B302" s="1689"/>
      <c r="C302" s="297" t="s">
        <v>1191</v>
      </c>
      <c r="D302" s="6909"/>
      <c r="E302" s="6717"/>
      <c r="F302" s="6852"/>
      <c r="G302" s="334"/>
      <c r="H302" s="1409"/>
      <c r="I302" s="572"/>
      <c r="J302" s="496"/>
      <c r="K302" s="1409"/>
      <c r="L302" s="135"/>
      <c r="M302" s="268"/>
      <c r="N302" s="261"/>
      <c r="O302" s="1535"/>
      <c r="P302" s="1535"/>
    </row>
    <row r="303" spans="1:16" s="2045" customFormat="1" ht="18.75" hidden="1" customHeight="1">
      <c r="A303" s="1689" t="s">
        <v>378</v>
      </c>
      <c r="B303" s="1689" t="s">
        <v>379</v>
      </c>
      <c r="C303" s="297"/>
      <c r="D303" s="6909"/>
      <c r="E303" s="6717"/>
      <c r="F303" s="6852" t="str">
        <f>INDEX(PT_DIFFERENTIATION_VTAR,MATCH(A303,PT_DIFFERENTIATION_VTAR_ID,0))</f>
        <v>Тариф на подключение (технологическое присоединение) к централизованной системе горячего водоснабжения</v>
      </c>
      <c r="G303" s="6881" t="str">
        <f>INDEX(PT_DIFFERENTIATION_NTAR,MATCH(B303,PT_DIFFERENTIATION_NTAR_ID,0))</f>
        <v/>
      </c>
      <c r="H303" s="1771"/>
      <c r="I303" s="1647"/>
      <c r="J303" s="1682"/>
      <c r="K303" s="1687"/>
      <c r="L303" s="1771" t="s">
        <v>424</v>
      </c>
      <c r="M303" s="268"/>
      <c r="N303" s="261"/>
      <c r="O303" s="1535"/>
      <c r="P303" s="1535"/>
    </row>
    <row r="304" spans="1:16" s="2045" customFormat="1" ht="18.75" hidden="1" customHeight="1">
      <c r="A304" s="1689"/>
      <c r="B304" s="1689"/>
      <c r="C304" s="297" t="s">
        <v>1184</v>
      </c>
      <c r="D304" s="6909"/>
      <c r="E304" s="6717"/>
      <c r="F304" s="6852"/>
      <c r="G304" s="6881"/>
      <c r="H304" s="1409"/>
      <c r="I304" s="572" t="s">
        <v>1183</v>
      </c>
      <c r="J304" s="496"/>
      <c r="K304" s="1409"/>
      <c r="L304" s="135"/>
      <c r="M304" s="268"/>
      <c r="N304" s="261"/>
      <c r="O304" s="1535"/>
      <c r="P304" s="1535"/>
    </row>
    <row r="305" spans="1:16" s="2045" customFormat="1" ht="0.75" hidden="1" customHeight="1">
      <c r="A305" s="1689"/>
      <c r="B305" s="1689"/>
      <c r="C305" s="297" t="s">
        <v>1191</v>
      </c>
      <c r="D305" s="6909"/>
      <c r="E305" s="6717"/>
      <c r="F305" s="6852"/>
      <c r="G305" s="334"/>
      <c r="H305" s="1409"/>
      <c r="I305" s="572"/>
      <c r="J305" s="496"/>
      <c r="K305" s="1409"/>
      <c r="L305" s="135"/>
      <c r="M305" s="268"/>
      <c r="N305" s="261"/>
      <c r="O305" s="1535"/>
      <c r="P305" s="1535"/>
    </row>
    <row r="306" spans="1:16" s="2045" customFormat="1" ht="18.75" hidden="1" customHeight="1">
      <c r="A306" s="1689" t="s">
        <v>383</v>
      </c>
      <c r="B306" s="1689" t="s">
        <v>384</v>
      </c>
      <c r="C306" s="297"/>
      <c r="D306" s="6909"/>
      <c r="E306" s="6717"/>
      <c r="F306" s="6852" t="str">
        <f>INDEX(PT_DIFFERENTIATION_VTAR,MATCH(A306,PT_DIFFERENTIATION_VTAR_ID,0))</f>
        <v>Тариф на водоотведение</v>
      </c>
      <c r="G306" s="6881" t="str">
        <f>INDEX(PT_DIFFERENTIATION_NTAR,MATCH(B306,PT_DIFFERENTIATION_NTAR_ID,0))</f>
        <v/>
      </c>
      <c r="H306" s="1771"/>
      <c r="I306" s="1647"/>
      <c r="J306" s="1682"/>
      <c r="K306" s="1687"/>
      <c r="L306" s="1771" t="s">
        <v>424</v>
      </c>
      <c r="M306" s="268"/>
      <c r="N306" s="261"/>
      <c r="O306" s="1535"/>
      <c r="P306" s="1535"/>
    </row>
    <row r="307" spans="1:16" s="2045" customFormat="1" ht="18.75" hidden="1" customHeight="1">
      <c r="A307" s="1689"/>
      <c r="B307" s="1689"/>
      <c r="C307" s="297" t="s">
        <v>1184</v>
      </c>
      <c r="D307" s="6909"/>
      <c r="E307" s="6717"/>
      <c r="F307" s="6852"/>
      <c r="G307" s="6881"/>
      <c r="H307" s="1409"/>
      <c r="I307" s="572" t="s">
        <v>1183</v>
      </c>
      <c r="J307" s="496"/>
      <c r="K307" s="1409"/>
      <c r="L307" s="135"/>
      <c r="M307" s="268"/>
      <c r="N307" s="261"/>
      <c r="O307" s="1535"/>
      <c r="P307" s="1535"/>
    </row>
    <row r="308" spans="1:16" s="2045" customFormat="1" ht="0.75" hidden="1" customHeight="1">
      <c r="A308" s="1689"/>
      <c r="B308" s="1689"/>
      <c r="C308" s="297" t="s">
        <v>1191</v>
      </c>
      <c r="D308" s="6909"/>
      <c r="E308" s="6717"/>
      <c r="F308" s="6852"/>
      <c r="G308" s="334"/>
      <c r="H308" s="1409"/>
      <c r="I308" s="572"/>
      <c r="J308" s="496"/>
      <c r="K308" s="1409"/>
      <c r="L308" s="135"/>
      <c r="M308" s="268"/>
      <c r="N308" s="261"/>
      <c r="O308" s="1535"/>
      <c r="P308" s="1535"/>
    </row>
    <row r="309" spans="1:16" s="2045" customFormat="1" ht="18.75" hidden="1" customHeight="1">
      <c r="A309" s="1689" t="s">
        <v>388</v>
      </c>
      <c r="B309" s="1689" t="s">
        <v>389</v>
      </c>
      <c r="C309" s="297"/>
      <c r="D309" s="6909"/>
      <c r="E309" s="6717"/>
      <c r="F309" s="6852" t="str">
        <f>INDEX(PT_DIFFERENTIATION_VTAR,MATCH(A309,PT_DIFFERENTIATION_VTAR_ID,0))</f>
        <v>Тариф на транспортировку сточных вод</v>
      </c>
      <c r="G309" s="6881" t="str">
        <f>INDEX(PT_DIFFERENTIATION_NTAR,MATCH(B309,PT_DIFFERENTIATION_NTAR_ID,0))</f>
        <v/>
      </c>
      <c r="H309" s="1771"/>
      <c r="I309" s="1647"/>
      <c r="J309" s="1682"/>
      <c r="K309" s="1687"/>
      <c r="L309" s="1771" t="s">
        <v>424</v>
      </c>
      <c r="M309" s="268"/>
      <c r="N309" s="261"/>
      <c r="O309" s="1535"/>
      <c r="P309" s="1535"/>
    </row>
    <row r="310" spans="1:16" s="2045" customFormat="1" ht="18.75" hidden="1" customHeight="1">
      <c r="A310" s="1689"/>
      <c r="B310" s="1689"/>
      <c r="C310" s="297" t="s">
        <v>1184</v>
      </c>
      <c r="D310" s="6909"/>
      <c r="E310" s="6717"/>
      <c r="F310" s="6852"/>
      <c r="G310" s="6881"/>
      <c r="H310" s="1409"/>
      <c r="I310" s="572" t="s">
        <v>1183</v>
      </c>
      <c r="J310" s="496"/>
      <c r="K310" s="1409"/>
      <c r="L310" s="135"/>
      <c r="M310" s="268"/>
      <c r="N310" s="261"/>
      <c r="O310" s="1535"/>
      <c r="P310" s="1535"/>
    </row>
    <row r="311" spans="1:16" s="2045" customFormat="1" ht="0.75" hidden="1" customHeight="1">
      <c r="A311" s="1689"/>
      <c r="B311" s="1689"/>
      <c r="C311" s="297" t="s">
        <v>1191</v>
      </c>
      <c r="D311" s="6909"/>
      <c r="E311" s="6717"/>
      <c r="F311" s="6852"/>
      <c r="G311" s="334"/>
      <c r="H311" s="1409"/>
      <c r="I311" s="572"/>
      <c r="J311" s="496"/>
      <c r="K311" s="1409"/>
      <c r="L311" s="135"/>
      <c r="M311" s="268"/>
      <c r="N311" s="261"/>
      <c r="O311" s="1535"/>
      <c r="P311" s="1535"/>
    </row>
    <row r="312" spans="1:16" s="2045" customFormat="1" ht="18.75" hidden="1" customHeight="1">
      <c r="A312" s="1689" t="s">
        <v>393</v>
      </c>
      <c r="B312" s="1689" t="s">
        <v>394</v>
      </c>
      <c r="C312" s="297"/>
      <c r="D312" s="6909"/>
      <c r="E312" s="6717"/>
      <c r="F312" s="6852" t="str">
        <f>INDEX(PT_DIFFERENTIATION_VTAR,MATCH(A312,PT_DIFFERENTIATION_VTAR_ID,0))</f>
        <v>Тариф на подключение (технологическое присоединение) к централизованной системе водоотведения</v>
      </c>
      <c r="G312" s="6881" t="str">
        <f>INDEX(PT_DIFFERENTIATION_NTAR,MATCH(B312,PT_DIFFERENTIATION_NTAR_ID,0))</f>
        <v/>
      </c>
      <c r="H312" s="1771"/>
      <c r="I312" s="1647"/>
      <c r="J312" s="1682"/>
      <c r="K312" s="1687"/>
      <c r="L312" s="1771" t="s">
        <v>424</v>
      </c>
      <c r="M312" s="268"/>
      <c r="N312" s="261"/>
      <c r="O312" s="1535"/>
      <c r="P312" s="1535"/>
    </row>
    <row r="313" spans="1:16" s="2045" customFormat="1" ht="18.75" hidden="1" customHeight="1">
      <c r="A313" s="1689"/>
      <c r="B313" s="1689"/>
      <c r="C313" s="297" t="s">
        <v>1184</v>
      </c>
      <c r="D313" s="6909"/>
      <c r="E313" s="6717"/>
      <c r="F313" s="6852"/>
      <c r="G313" s="6881"/>
      <c r="H313" s="1409"/>
      <c r="I313" s="572" t="s">
        <v>1183</v>
      </c>
      <c r="J313" s="496"/>
      <c r="K313" s="1409"/>
      <c r="L313" s="135"/>
      <c r="M313" s="268"/>
      <c r="N313" s="261"/>
      <c r="O313" s="1535"/>
      <c r="P313" s="1535"/>
    </row>
    <row r="314" spans="1:16" s="2045" customFormat="1" ht="0.75" customHeight="1">
      <c r="A314" s="1689"/>
      <c r="B314" s="1689"/>
      <c r="C314" s="297" t="s">
        <v>1191</v>
      </c>
      <c r="D314" s="6909"/>
      <c r="E314" s="6717"/>
      <c r="F314" s="6852"/>
      <c r="G314" s="334"/>
      <c r="H314" s="1409"/>
      <c r="I314" s="572"/>
      <c r="J314" s="496"/>
      <c r="K314" s="1409"/>
      <c r="L314" s="135"/>
      <c r="M314" s="268"/>
      <c r="N314" s="261"/>
      <c r="O314" s="1535"/>
      <c r="P314" s="1535"/>
    </row>
    <row r="315" spans="1:16" s="6537" customFormat="1" ht="3" customHeight="1">
      <c r="A315" s="1689"/>
      <c r="B315" s="1689"/>
      <c r="C315" s="1690"/>
      <c r="E315" s="336"/>
      <c r="F315" s="336"/>
      <c r="G315" s="336"/>
      <c r="H315" s="336"/>
      <c r="I315" s="336"/>
      <c r="J315" s="336"/>
      <c r="K315" s="336"/>
      <c r="L315" s="336"/>
      <c r="M315" s="336"/>
      <c r="O315" s="117"/>
      <c r="P315" s="117"/>
    </row>
    <row r="316" spans="1:16" ht="24.75" customHeight="1">
      <c r="E316" s="123"/>
      <c r="F316" s="6783"/>
      <c r="G316" s="6783"/>
      <c r="H316" s="6783"/>
      <c r="I316" s="6783"/>
      <c r="J316" s="6783"/>
      <c r="K316" s="6783"/>
      <c r="L316" s="6783"/>
      <c r="M316" s="678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6540" hidden="1" customWidth="1"/>
    <col min="2" max="2" width="9.140625" style="6530" hidden="1" customWidth="1"/>
    <col min="3" max="3" width="3.7109375" style="2075" customWidth="1"/>
    <col min="4" max="4" width="6.28515625" style="6539" customWidth="1"/>
    <col min="5" max="5" width="53.85546875" style="6539" customWidth="1"/>
    <col min="6" max="7" width="35.7109375" style="6539" customWidth="1"/>
    <col min="8" max="8" width="89.5703125" style="6539" customWidth="1"/>
    <col min="9" max="9" width="10.5703125" style="6539"/>
    <col min="10" max="11" width="10.5703125" style="6531"/>
    <col min="12" max="17" width="10.5703125" style="6539"/>
  </cols>
  <sheetData>
    <row r="1" spans="1:17" ht="14.25" hidden="1" customHeight="1">
      <c r="N1" s="174"/>
      <c r="O1" s="174"/>
      <c r="Q1" s="174"/>
    </row>
    <row r="2" spans="1:17" s="2045" customFormat="1" ht="18.75" hidden="1" customHeight="1">
      <c r="A2" s="34"/>
      <c r="B2" s="1060"/>
      <c r="C2" s="1639" t="s">
        <v>102</v>
      </c>
      <c r="D2" s="1583"/>
      <c r="E2" s="1592"/>
      <c r="F2" s="176"/>
      <c r="G2" s="1061"/>
      <c r="H2" s="302"/>
      <c r="I2" s="1535"/>
      <c r="J2" s="1535"/>
    </row>
    <row r="3" spans="1:17" ht="14.25" hidden="1" customHeight="1"/>
    <row r="4" spans="1:17" ht="6" customHeight="1">
      <c r="C4" s="305"/>
      <c r="D4" s="290"/>
      <c r="E4" s="290"/>
      <c r="F4" s="290"/>
      <c r="G4" s="19"/>
      <c r="H4" s="19"/>
    </row>
    <row r="5" spans="1:17" ht="33" customHeight="1">
      <c r="C5" s="305"/>
      <c r="D5" s="666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6663"/>
      <c r="F5" s="6663"/>
      <c r="G5" s="6664"/>
      <c r="H5" s="185"/>
    </row>
    <row r="6" spans="1:17" s="2045" customFormat="1" ht="17.25" customHeight="1">
      <c r="A6" s="1579"/>
      <c r="B6" s="1060"/>
      <c r="C6" s="305"/>
      <c r="D6" s="6728" t="str">
        <f>IF(org=0,"Не определено",org)</f>
        <v>ООО "Марикоммунэнерго"</v>
      </c>
      <c r="E6" s="6729"/>
      <c r="F6" s="6729"/>
      <c r="G6" s="6730"/>
      <c r="H6" s="185"/>
      <c r="J6" s="1535"/>
      <c r="K6" s="1535"/>
    </row>
    <row r="7" spans="1:17" ht="14.25" customHeight="1">
      <c r="C7" s="305"/>
      <c r="D7" s="290"/>
      <c r="E7" s="323"/>
      <c r="F7" s="323"/>
      <c r="G7" s="669"/>
      <c r="H7" s="114"/>
    </row>
    <row r="8" spans="1:17" ht="14.25" customHeight="1">
      <c r="C8" s="305"/>
      <c r="D8" s="6723" t="s">
        <v>418</v>
      </c>
      <c r="E8" s="6723"/>
      <c r="F8" s="6723"/>
      <c r="G8" s="6723"/>
      <c r="H8" s="6907" t="s">
        <v>419</v>
      </c>
    </row>
    <row r="9" spans="1:17" ht="14.25" customHeight="1">
      <c r="C9" s="305"/>
      <c r="D9" s="320" t="s">
        <v>87</v>
      </c>
      <c r="E9" s="39" t="s">
        <v>420</v>
      </c>
      <c r="F9" s="39" t="s">
        <v>421</v>
      </c>
      <c r="G9" s="39" t="s">
        <v>510</v>
      </c>
      <c r="H9" s="6907"/>
    </row>
    <row r="10" spans="1:17" ht="14.25" customHeight="1">
      <c r="A10" s="269"/>
      <c r="C10" s="305"/>
      <c r="D10" s="71" t="s">
        <v>178</v>
      </c>
      <c r="E10" s="17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6676" t="s">
        <v>1192</v>
      </c>
    </row>
    <row r="11" spans="1:17" ht="14.25" customHeight="1">
      <c r="A11" s="269"/>
      <c r="C11" s="305"/>
      <c r="D11" s="71" t="s">
        <v>98</v>
      </c>
      <c r="E11" s="17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6677"/>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66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6677"/>
      <c r="I13" s="275"/>
      <c r="K13" s="302"/>
    </row>
    <row r="14" spans="1:17" ht="14.25" customHeight="1">
      <c r="A14" s="269"/>
      <c r="C14" s="305"/>
      <c r="D14" s="273"/>
      <c r="E14" s="329" t="s">
        <v>1154</v>
      </c>
      <c r="F14" s="274"/>
      <c r="G14" s="122"/>
      <c r="H14" s="6678"/>
    </row>
    <row r="15" spans="1:17" s="2045" customFormat="1" ht="14.25" customHeight="1">
      <c r="A15" s="269"/>
      <c r="B15" s="1060"/>
      <c r="C15" s="305"/>
      <c r="D15" s="330"/>
      <c r="E15" s="1587"/>
      <c r="F15" s="1588"/>
      <c r="G15" s="1589"/>
      <c r="H15" s="1590"/>
      <c r="J15" s="1535"/>
      <c r="K15" s="1535"/>
    </row>
    <row r="16" spans="1:17" ht="14.25" customHeight="1">
      <c r="D16" s="1591"/>
      <c r="E16" s="6783"/>
      <c r="F16" s="6783"/>
      <c r="G16" s="6783"/>
      <c r="H16" s="678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057" hidden="1" customWidth="1"/>
    <col min="2" max="2" width="9.140625" style="2059" hidden="1" customWidth="1"/>
    <col min="3" max="3" width="4.7109375" style="6514" customWidth="1"/>
    <col min="4" max="4" width="6.28515625" style="2059" customWidth="1"/>
    <col min="5" max="5" width="47.85546875" style="2059" customWidth="1"/>
    <col min="6" max="6" width="9.5703125" style="2059" customWidth="1"/>
    <col min="7" max="7" width="25.7109375" style="1820" hidden="1" customWidth="1"/>
    <col min="8" max="8" width="34" style="1820" hidden="1" customWidth="1"/>
    <col min="9" max="9" width="25.7109375" style="2059" customWidth="1"/>
    <col min="10" max="10" width="34" style="2059" customWidth="1"/>
    <col min="11" max="11" width="50.85546875" style="1821" customWidth="1"/>
    <col min="12" max="20" width="10.5703125" style="2059"/>
    <col min="21" max="21" width="10.5703125" style="6513"/>
  </cols>
  <sheetData>
    <row r="1" spans="1:21" s="1821" customFormat="1" ht="15" hidden="1" customHeight="1">
      <c r="C1" s="593"/>
      <c r="G1" s="351">
        <v>4</v>
      </c>
      <c r="I1" s="351">
        <v>4</v>
      </c>
      <c r="U1" s="353"/>
    </row>
    <row r="2" spans="1:21" s="1822" customFormat="1" ht="15" hidden="1" customHeight="1">
      <c r="A2" s="289"/>
      <c r="C2" s="97"/>
      <c r="D2" s="272"/>
      <c r="E2" s="594"/>
      <c r="F2" s="448"/>
      <c r="G2" s="537"/>
      <c r="H2" s="537"/>
      <c r="I2" s="537"/>
      <c r="J2" s="537"/>
      <c r="U2" s="595"/>
    </row>
    <row r="3" spans="1:21" s="1821" customFormat="1" ht="15" hidden="1" customHeight="1">
      <c r="C3" s="593"/>
      <c r="U3" s="353"/>
    </row>
    <row r="4" spans="1:21" ht="15" customHeight="1">
      <c r="C4" s="97"/>
      <c r="D4" s="435"/>
      <c r="E4" s="435"/>
      <c r="F4" s="435"/>
      <c r="G4" s="435"/>
      <c r="H4" s="435"/>
      <c r="I4" s="435"/>
      <c r="J4" s="435"/>
    </row>
    <row r="5" spans="1:21" ht="63" customHeight="1">
      <c r="C5" s="97"/>
      <c r="D5" s="6747" t="s">
        <v>1193</v>
      </c>
      <c r="E5" s="6747"/>
      <c r="F5" s="6747"/>
      <c r="G5" s="6747"/>
      <c r="H5" s="6747"/>
      <c r="I5" s="6747"/>
      <c r="J5" s="6747"/>
    </row>
    <row r="6" spans="1:21" ht="15" customHeight="1">
      <c r="C6" s="97"/>
      <c r="D6" s="6694" t="str">
        <f>IF(org=0,"Не определено",org)</f>
        <v>ООО "Марикоммунэнерго"</v>
      </c>
      <c r="E6" s="6694"/>
      <c r="F6" s="6694"/>
      <c r="G6" s="6694"/>
      <c r="H6" s="6694"/>
      <c r="I6" s="6694"/>
      <c r="J6" s="6694"/>
      <c r="K6" s="462"/>
    </row>
    <row r="7" spans="1:21" ht="15" customHeight="1">
      <c r="C7" s="97"/>
      <c r="D7" s="669"/>
      <c r="E7" s="435"/>
      <c r="F7" s="435"/>
      <c r="G7" s="462">
        <v>22</v>
      </c>
      <c r="I7" s="462">
        <v>1</v>
      </c>
      <c r="J7" s="669"/>
    </row>
    <row r="8" spans="1:21" s="1820" customFormat="1" ht="0.75" customHeight="1">
      <c r="A8" s="676"/>
      <c r="C8" s="97"/>
      <c r="D8" s="435"/>
      <c r="E8" s="435"/>
      <c r="F8" s="435"/>
      <c r="G8" s="462"/>
      <c r="H8" s="669"/>
      <c r="I8" s="462" t="s">
        <v>183</v>
      </c>
      <c r="J8" s="669"/>
      <c r="K8" s="351"/>
      <c r="U8" s="596"/>
    </row>
    <row r="9" spans="1:21" ht="15" customHeight="1">
      <c r="C9" s="97"/>
      <c r="D9" s="630"/>
      <c r="E9" s="6838" t="s">
        <v>174</v>
      </c>
      <c r="F9" s="6839"/>
      <c r="G9" s="6859" t="str">
        <f>IF(G8="","",INDEX(DIFFERENTIATION_UNMERGE_VD,MATCH(G8,DIFFERENTIATION_ID_DIFF,0)))</f>
        <v/>
      </c>
      <c r="H9" s="6860"/>
      <c r="I9" s="6859">
        <f>IF(I8="","",INDEX(DIFFERENTIATION_UNMERGE_VD,MATCH(I8,DIFFERENTIATION_ID_DIFF,0)))</f>
        <v>0</v>
      </c>
      <c r="J9" s="6860"/>
      <c r="K9" s="6693" t="s">
        <v>419</v>
      </c>
    </row>
    <row r="10" spans="1:21" s="1820" customFormat="1" ht="15" customHeight="1">
      <c r="A10" s="676"/>
      <c r="C10" s="97"/>
      <c r="D10" s="630"/>
      <c r="E10" s="6838" t="s">
        <v>681</v>
      </c>
      <c r="F10" s="6839"/>
      <c r="G10" s="6859" t="str">
        <f>IF(G8="","",INDEX(DIFFERENTIATION_UNMERGE_AREA,MATCH(G8,DIFFERENTIATION_ID_DIFF,0)))</f>
        <v/>
      </c>
      <c r="H10" s="6860"/>
      <c r="I10" s="6859" t="str">
        <f>IF(I8="","",INDEX(DIFFERENTIATION_UNMERGE_AREA,MATCH(I8,DIFFERENTIATION_ID_DIFF,0)))</f>
        <v/>
      </c>
      <c r="J10" s="6860"/>
      <c r="K10" s="6712"/>
      <c r="U10" s="596"/>
    </row>
    <row r="11" spans="1:21" s="1820" customFormat="1" ht="15" customHeight="1">
      <c r="A11" s="676"/>
      <c r="C11" s="97"/>
      <c r="D11" s="630"/>
      <c r="E11" s="6838" t="s">
        <v>682</v>
      </c>
      <c r="F11" s="6839"/>
      <c r="G11" s="6859" t="str">
        <f>IF(G8="","",INDEX(DIFFERENTIATION_UNMERGE_SYSTEM,MATCH(G8,DIFFERENTIATION_ID_DIFF,0)))</f>
        <v/>
      </c>
      <c r="H11" s="6860"/>
      <c r="I11" s="6859" t="str">
        <f>IF(I8="","",INDEX(DIFFERENTIATION_UNMERGE_SYSTEM,MATCH(I8,DIFFERENTIATION_ID_DIFF,0)))</f>
        <v>без дифференциации</v>
      </c>
      <c r="J11" s="6860"/>
      <c r="K11" s="6712"/>
      <c r="U11" s="596"/>
    </row>
    <row r="12" spans="1:21" s="1820" customFormat="1" ht="15" customHeight="1">
      <c r="A12" s="676"/>
      <c r="C12" s="97"/>
      <c r="D12" s="6840" t="s">
        <v>418</v>
      </c>
      <c r="E12" s="6841"/>
      <c r="F12" s="6841"/>
      <c r="G12" s="800"/>
      <c r="H12" s="800"/>
      <c r="I12" s="800"/>
      <c r="J12" s="800"/>
      <c r="K12" s="6712"/>
      <c r="U12" s="596"/>
    </row>
    <row r="13" spans="1:21" ht="33.75" customHeight="1">
      <c r="C13" s="97"/>
      <c r="D13" s="722" t="s">
        <v>87</v>
      </c>
      <c r="E13" s="724" t="s">
        <v>420</v>
      </c>
      <c r="F13" s="724" t="s">
        <v>683</v>
      </c>
      <c r="G13" s="725" t="s">
        <v>421</v>
      </c>
      <c r="H13" s="724" t="s">
        <v>510</v>
      </c>
      <c r="I13" s="725" t="s">
        <v>421</v>
      </c>
      <c r="J13" s="724" t="s">
        <v>510</v>
      </c>
      <c r="K13" s="6742"/>
    </row>
    <row r="14" spans="1:21" ht="15" hidden="1" customHeight="1">
      <c r="C14" s="97"/>
      <c r="D14" s="516" t="s">
        <v>178</v>
      </c>
      <c r="E14" s="516" t="s">
        <v>98</v>
      </c>
      <c r="F14" s="516" t="s">
        <v>89</v>
      </c>
      <c r="G14" s="580" t="str">
        <f>G1&amp;".1"</f>
        <v>4.1</v>
      </c>
      <c r="H14" s="580"/>
      <c r="I14" s="580" t="str">
        <f>I1&amp;".1"</f>
        <v>4.1</v>
      </c>
      <c r="J14" s="580"/>
      <c r="K14" s="208"/>
    </row>
    <row r="15" spans="1:21" ht="22.5" hidden="1" customHeight="1">
      <c r="A15" s="431"/>
      <c r="C15" s="452"/>
      <c r="D15" s="447">
        <v>1</v>
      </c>
      <c r="E15" s="598" t="s">
        <v>840</v>
      </c>
      <c r="F15" s="447" t="s">
        <v>841</v>
      </c>
      <c r="G15" s="599"/>
      <c r="H15" s="599"/>
      <c r="I15" s="599"/>
      <c r="J15" s="599"/>
      <c r="K15" s="208" t="s">
        <v>842</v>
      </c>
    </row>
    <row r="16" spans="1:21" ht="22.5" hidden="1" customHeight="1">
      <c r="A16" s="431"/>
      <c r="C16" s="452"/>
      <c r="D16" s="447">
        <v>2</v>
      </c>
      <c r="E16" s="199" t="s">
        <v>843</v>
      </c>
      <c r="F16" s="447" t="s">
        <v>844</v>
      </c>
      <c r="G16" s="599"/>
      <c r="H16" s="599"/>
      <c r="I16" s="599"/>
      <c r="J16" s="599"/>
      <c r="K16" s="208" t="s">
        <v>845</v>
      </c>
    </row>
    <row r="17" spans="1:11" ht="123.75" hidden="1" customHeight="1">
      <c r="A17" s="431"/>
      <c r="C17" s="452"/>
      <c r="D17" s="447">
        <v>3</v>
      </c>
      <c r="E17" s="199" t="s">
        <v>1194</v>
      </c>
      <c r="F17" s="447" t="s">
        <v>424</v>
      </c>
      <c r="G17" s="599"/>
      <c r="H17" s="599"/>
      <c r="I17" s="599"/>
      <c r="J17" s="599"/>
      <c r="K17" s="208" t="s">
        <v>1195</v>
      </c>
    </row>
    <row r="18" spans="1:11" ht="45" customHeight="1">
      <c r="A18" s="431"/>
      <c r="C18" s="452"/>
      <c r="D18" s="447">
        <v>4</v>
      </c>
      <c r="E18" s="199" t="s">
        <v>846</v>
      </c>
      <c r="F18" s="447" t="s">
        <v>424</v>
      </c>
      <c r="G18" s="726" t="s">
        <v>424</v>
      </c>
      <c r="H18" s="727" t="s">
        <v>424</v>
      </c>
      <c r="I18" s="447" t="s">
        <v>424</v>
      </c>
      <c r="J18" s="503" t="s">
        <v>424</v>
      </c>
      <c r="K18" s="208" t="s">
        <v>1196</v>
      </c>
    </row>
    <row r="19" spans="1:11" ht="33.75" customHeight="1">
      <c r="A19" s="431"/>
      <c r="C19" s="452"/>
      <c r="D19" s="464" t="s">
        <v>784</v>
      </c>
      <c r="E19" s="484" t="s">
        <v>848</v>
      </c>
      <c r="F19" s="447" t="s">
        <v>849</v>
      </c>
      <c r="G19" s="734"/>
      <c r="H19" s="37"/>
      <c r="I19" s="734"/>
      <c r="J19" s="735"/>
      <c r="K19" s="600"/>
    </row>
    <row r="20" spans="1:11" ht="33.75" customHeight="1">
      <c r="A20" s="431"/>
      <c r="C20" s="452"/>
      <c r="D20" s="464" t="s">
        <v>827</v>
      </c>
      <c r="E20" s="484" t="s">
        <v>850</v>
      </c>
      <c r="F20" s="447" t="s">
        <v>851</v>
      </c>
      <c r="G20" s="734"/>
      <c r="H20" s="37"/>
      <c r="I20" s="734"/>
      <c r="J20" s="37"/>
      <c r="K20" s="600"/>
    </row>
    <row r="21" spans="1:11" ht="45" customHeight="1">
      <c r="A21" s="431"/>
      <c r="C21" s="452"/>
      <c r="D21" s="464" t="s">
        <v>830</v>
      </c>
      <c r="E21" s="484" t="s">
        <v>852</v>
      </c>
      <c r="F21" s="447" t="s">
        <v>688</v>
      </c>
      <c r="G21" s="601"/>
      <c r="H21" s="37"/>
      <c r="I21" s="601"/>
      <c r="J21" s="37"/>
      <c r="K21" s="600"/>
    </row>
    <row r="22" spans="1:11" ht="67.5" hidden="1" customHeight="1">
      <c r="A22" s="431"/>
      <c r="C22" s="452"/>
      <c r="D22" s="447">
        <v>5</v>
      </c>
      <c r="E22" s="199" t="s">
        <v>1197</v>
      </c>
      <c r="F22" s="447" t="s">
        <v>675</v>
      </c>
      <c r="G22" s="602"/>
      <c r="H22" s="603"/>
      <c r="I22" s="602"/>
      <c r="J22" s="603"/>
      <c r="K22" s="208" t="s">
        <v>1198</v>
      </c>
    </row>
    <row r="23" spans="1:11" ht="33.75" hidden="1" customHeight="1">
      <c r="C23" s="382"/>
      <c r="D23" s="447">
        <v>6</v>
      </c>
      <c r="E23" s="199" t="s">
        <v>1199</v>
      </c>
      <c r="F23" s="447" t="s">
        <v>1200</v>
      </c>
      <c r="G23" s="602"/>
      <c r="H23" s="602"/>
      <c r="I23" s="602"/>
      <c r="J23" s="602"/>
      <c r="K23" s="208" t="s">
        <v>1201</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6541" hidden="1"/>
    <col min="2" max="2" width="9.140625" style="6542" hidden="1"/>
    <col min="3" max="3" width="3.7109375" style="6543" customWidth="1"/>
    <col min="4" max="4" width="7" style="6546" customWidth="1"/>
    <col min="5" max="5" width="23.140625" style="6546" customWidth="1"/>
    <col min="6" max="6" width="16" style="6546" customWidth="1"/>
    <col min="7" max="7" width="14.85546875" style="6546" customWidth="1"/>
    <col min="8" max="8" width="47.85546875" style="6546" customWidth="1"/>
    <col min="9" max="9" width="115.7109375" style="6546" customWidth="1"/>
    <col min="10" max="10" width="3.7109375" style="6546" customWidth="1"/>
    <col min="11" max="12" width="9.140625" style="6546"/>
  </cols>
  <sheetData>
    <row r="1" spans="1:12" ht="14.25" hidden="1" customHeight="1"/>
    <row r="2" spans="1:12" ht="14.25" hidden="1" customHeight="1"/>
    <row r="3" spans="1:12" ht="14.25" hidden="1" customHeight="1"/>
    <row r="4" spans="1:12" ht="3" customHeight="1"/>
    <row r="5" spans="1:12" s="1834" customFormat="1" ht="30" customHeight="1">
      <c r="A5" s="45"/>
      <c r="C5" s="24"/>
      <c r="D5" s="6604" t="s">
        <v>1202</v>
      </c>
      <c r="E5" s="6604"/>
      <c r="F5" s="6604"/>
      <c r="G5" s="6604"/>
      <c r="H5" s="6604"/>
      <c r="I5" s="184"/>
    </row>
    <row r="6" spans="1:12" ht="3" hidden="1" customHeight="1">
      <c r="D6" s="49"/>
      <c r="E6" s="49"/>
      <c r="F6" s="49"/>
      <c r="G6" s="49"/>
      <c r="H6" s="49"/>
      <c r="I6" s="49"/>
    </row>
    <row r="7" spans="1:12" s="6541" customFormat="1" ht="14.25" customHeight="1">
      <c r="B7" s="46"/>
      <c r="C7" s="47"/>
      <c r="D7" s="50"/>
      <c r="E7" s="50"/>
      <c r="F7" s="50"/>
      <c r="G7" s="50"/>
      <c r="H7" s="669"/>
      <c r="I7" s="50"/>
      <c r="J7" s="51"/>
    </row>
    <row r="8" spans="1:12" ht="14.25" customHeight="1">
      <c r="D8" s="6723" t="s">
        <v>418</v>
      </c>
      <c r="E8" s="6723"/>
      <c r="F8" s="6723"/>
      <c r="G8" s="6723"/>
      <c r="H8" s="6723"/>
      <c r="I8" s="6723" t="s">
        <v>419</v>
      </c>
    </row>
    <row r="9" spans="1:12" ht="27.75" customHeight="1">
      <c r="D9" s="6723" t="s">
        <v>87</v>
      </c>
      <c r="E9" s="6723" t="s">
        <v>1203</v>
      </c>
      <c r="F9" s="6723"/>
      <c r="G9" s="6723"/>
      <c r="H9" s="6723"/>
      <c r="I9" s="6723"/>
    </row>
    <row r="10" spans="1:12" ht="22.5" customHeight="1">
      <c r="D10" s="6723"/>
      <c r="E10" s="54" t="s">
        <v>1204</v>
      </c>
      <c r="F10" s="54" t="s">
        <v>1205</v>
      </c>
      <c r="G10" s="54" t="s">
        <v>1206</v>
      </c>
      <c r="H10" s="54" t="s">
        <v>510</v>
      </c>
      <c r="I10" s="6723"/>
    </row>
    <row r="11" spans="1:12" ht="12" hidden="1" customHeight="1">
      <c r="D11" s="21" t="s">
        <v>178</v>
      </c>
      <c r="E11" s="21" t="s">
        <v>90</v>
      </c>
      <c r="F11" s="21" t="s">
        <v>115</v>
      </c>
      <c r="G11" s="21" t="s">
        <v>91</v>
      </c>
      <c r="H11" s="21" t="s">
        <v>92</v>
      </c>
      <c r="I11" s="21" t="s">
        <v>128</v>
      </c>
    </row>
    <row r="12" spans="1:12" s="6544" customFormat="1" ht="24.75" customHeight="1">
      <c r="A12" s="69" t="s">
        <v>89</v>
      </c>
      <c r="B12" s="52" t="s">
        <v>24</v>
      </c>
      <c r="C12" s="53"/>
      <c r="D12" s="55" t="s">
        <v>178</v>
      </c>
      <c r="E12" s="315"/>
      <c r="F12" s="315"/>
      <c r="G12" s="1643" t="s">
        <v>24</v>
      </c>
      <c r="H12" s="316"/>
      <c r="I12" s="6676" t="s">
        <v>1207</v>
      </c>
      <c r="K12" s="191"/>
      <c r="L12" s="192"/>
    </row>
    <row r="13" spans="1:12" ht="15" customHeight="1">
      <c r="A13" s="48"/>
      <c r="B13" s="48"/>
      <c r="C13" s="48"/>
      <c r="D13" s="40"/>
      <c r="E13" s="57" t="s">
        <v>586</v>
      </c>
      <c r="F13" s="56"/>
      <c r="G13" s="56"/>
      <c r="H13" s="135"/>
      <c r="I13" s="6678"/>
    </row>
    <row r="14" spans="1:12" ht="3" customHeight="1">
      <c r="A14" s="48"/>
      <c r="B14" s="48"/>
      <c r="C14" s="48"/>
    </row>
    <row r="15" spans="1:12" ht="27.75" customHeight="1">
      <c r="E15" s="6917" t="s">
        <v>1208</v>
      </c>
      <c r="F15" s="6917"/>
      <c r="G15" s="6917"/>
      <c r="H15" s="691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6547" hidden="1"/>
    <col min="3" max="3" width="3.7109375" style="6548" customWidth="1"/>
    <col min="4" max="4" width="6.28515625" style="6547" customWidth="1"/>
    <col min="5" max="5" width="94.85546875" style="6547" customWidth="1"/>
    <col min="6" max="9" width="9.140625" style="6547"/>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6918" t="s">
        <v>1209</v>
      </c>
      <c r="E7" s="6919"/>
      <c r="F7" s="186"/>
    </row>
    <row r="8" spans="3:9" ht="3" customHeight="1">
      <c r="C8" s="25"/>
      <c r="D8" s="6"/>
      <c r="E8" s="6"/>
    </row>
    <row r="9" spans="3:9" ht="15.75" customHeight="1">
      <c r="C9" s="25"/>
      <c r="D9" s="36" t="s">
        <v>87</v>
      </c>
      <c r="E9" s="179" t="s">
        <v>1210</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1211</v>
      </c>
    </row>
    <row r="14" spans="3:9" ht="3" customHeight="1"/>
    <row r="15" spans="3:9" ht="22.5" customHeight="1">
      <c r="C15" s="63"/>
      <c r="D15" s="6917" t="s">
        <v>1212</v>
      </c>
      <c r="E15" s="6917"/>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048" hidden="1" customWidth="1"/>
    <col min="3" max="3" width="3.7109375" style="2050" customWidth="1"/>
    <col min="4" max="4" width="6.85546875" style="2051" customWidth="1"/>
    <col min="5" max="5" width="52.28515625" style="2050" customWidth="1"/>
    <col min="6" max="6" width="48.85546875" style="2050" customWidth="1"/>
    <col min="7" max="7" width="93.42578125" style="2050" customWidth="1"/>
    <col min="8" max="8" width="9.140625" style="2050"/>
    <col min="9" max="9" width="65" style="2050" customWidth="1"/>
  </cols>
  <sheetData>
    <row r="1" spans="1:9" ht="11.25" hidden="1" customHeight="1">
      <c r="A1" s="427" t="s">
        <v>417</v>
      </c>
    </row>
    <row r="2" spans="1:9" ht="22.5" hidden="1" customHeight="1">
      <c r="A2" s="428"/>
      <c r="B2" s="428"/>
      <c r="C2" s="385"/>
      <c r="D2" s="1429"/>
      <c r="E2" s="1435"/>
      <c r="F2" s="1463"/>
      <c r="H2" s="402"/>
    </row>
    <row r="3" spans="1:9" ht="11.25" hidden="1" customHeight="1"/>
    <row r="4" spans="1:9" ht="11.25" customHeight="1">
      <c r="A4" s="1464"/>
      <c r="B4" s="1464"/>
    </row>
    <row r="5" spans="1:9" ht="24" customHeight="1">
      <c r="D5" s="662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6623"/>
      <c r="F5" s="6624"/>
      <c r="I5" s="634"/>
    </row>
    <row r="6" spans="1:9" ht="17.25" customHeight="1">
      <c r="D6" s="6694" t="str">
        <f>IF(region_name=0,"Не определено",region_name)</f>
        <v>Республика Марий Эл</v>
      </c>
      <c r="E6" s="6694"/>
      <c r="F6" s="6694"/>
      <c r="I6" s="634"/>
    </row>
    <row r="7" spans="1:9" s="2047" customFormat="1" ht="11.25" customHeight="1">
      <c r="A7" s="427"/>
      <c r="B7" s="427"/>
      <c r="D7" s="633"/>
      <c r="E7" s="633"/>
      <c r="F7" s="669"/>
      <c r="G7" s="633"/>
    </row>
    <row r="8" spans="1:9" ht="11.25" hidden="1" customHeight="1">
      <c r="A8" s="428"/>
      <c r="B8" s="428"/>
      <c r="C8" s="385"/>
      <c r="D8" s="390"/>
      <c r="E8" s="6721"/>
      <c r="F8" s="6721"/>
    </row>
    <row r="9" spans="1:9" ht="11.25" customHeight="1">
      <c r="A9" s="428"/>
      <c r="B9" s="428"/>
      <c r="C9" s="385"/>
      <c r="D9" s="6717" t="s">
        <v>418</v>
      </c>
      <c r="E9" s="6718"/>
      <c r="F9" s="6718"/>
      <c r="G9" s="6722" t="s">
        <v>419</v>
      </c>
    </row>
    <row r="10" spans="1:9" ht="11.25" customHeight="1">
      <c r="A10" s="428"/>
      <c r="B10" s="428"/>
      <c r="C10" s="385"/>
      <c r="D10" s="1383" t="s">
        <v>87</v>
      </c>
      <c r="E10" s="1385" t="s">
        <v>420</v>
      </c>
      <c r="F10" s="1385" t="s">
        <v>421</v>
      </c>
      <c r="G10" s="6723"/>
    </row>
    <row r="11" spans="1:9" ht="0.75" customHeight="1">
      <c r="A11" s="428"/>
      <c r="B11" s="428"/>
      <c r="C11" s="385"/>
      <c r="D11" s="391"/>
      <c r="E11" s="391"/>
      <c r="F11" s="391"/>
      <c r="G11" s="391"/>
    </row>
    <row r="12" spans="1:9" ht="22.5" customHeight="1">
      <c r="A12" s="428"/>
      <c r="B12" s="428"/>
      <c r="C12" s="385"/>
      <c r="D12" s="1429">
        <v>1</v>
      </c>
      <c r="E12" s="401" t="s">
        <v>1213</v>
      </c>
      <c r="F12" s="1768" t="str">
        <f>IF(org="","",org)</f>
        <v>ООО "Марикоммунэнерго"</v>
      </c>
      <c r="G12" s="401" t="s">
        <v>1214</v>
      </c>
      <c r="H12" s="1441"/>
    </row>
    <row r="13" spans="1:9" ht="18.75" customHeight="1">
      <c r="A13" s="428"/>
      <c r="B13" s="428"/>
      <c r="C13" s="385"/>
      <c r="D13" s="1429">
        <v>2</v>
      </c>
      <c r="E13" s="1436" t="s">
        <v>1215</v>
      </c>
      <c r="F13" s="1430" t="s">
        <v>424</v>
      </c>
      <c r="G13" s="401"/>
      <c r="H13" s="1441"/>
    </row>
    <row r="14" spans="1:9" ht="18.75" customHeight="1">
      <c r="A14" s="428"/>
      <c r="B14" s="428"/>
      <c r="C14" s="385"/>
      <c r="D14" s="1432" t="s">
        <v>739</v>
      </c>
      <c r="E14" s="1433" t="s">
        <v>1216</v>
      </c>
      <c r="F14" s="1435"/>
      <c r="G14" s="1434" t="s">
        <v>1217</v>
      </c>
      <c r="H14" s="1441"/>
    </row>
    <row r="15" spans="1:9" ht="18.75" customHeight="1">
      <c r="A15" s="428"/>
      <c r="B15" s="428"/>
      <c r="C15" s="385"/>
      <c r="D15" s="1432" t="s">
        <v>425</v>
      </c>
      <c r="E15" s="1433" t="s">
        <v>1218</v>
      </c>
      <c r="F15" s="1435"/>
      <c r="G15" s="1434" t="s">
        <v>1219</v>
      </c>
      <c r="H15" s="1441"/>
    </row>
    <row r="16" spans="1:9" ht="36.75" customHeight="1">
      <c r="A16" s="428"/>
      <c r="B16" s="428"/>
      <c r="C16" s="385"/>
      <c r="D16" s="1432" t="s">
        <v>428</v>
      </c>
      <c r="E16" s="1431" t="s">
        <v>1220</v>
      </c>
      <c r="F16" s="1439"/>
      <c r="G16" s="401" t="s">
        <v>1221</v>
      </c>
      <c r="H16" s="1441"/>
    </row>
    <row r="17" spans="1:9" ht="45" customHeight="1">
      <c r="A17" s="428"/>
      <c r="B17" s="428"/>
      <c r="C17" s="385"/>
      <c r="D17" s="1429">
        <v>3</v>
      </c>
      <c r="E17" s="1436" t="s">
        <v>1222</v>
      </c>
      <c r="F17" s="1435"/>
      <c r="G17" s="401" t="s">
        <v>1223</v>
      </c>
      <c r="H17" s="1441"/>
    </row>
    <row r="18" spans="1:9" ht="45" customHeight="1">
      <c r="A18" s="1384">
        <v>1</v>
      </c>
      <c r="B18" s="428"/>
      <c r="C18" s="1386"/>
      <c r="D18" s="1429" t="s">
        <v>90</v>
      </c>
      <c r="E18" s="1436" t="s">
        <v>1224</v>
      </c>
      <c r="F18" s="1435"/>
      <c r="G18" s="401" t="s">
        <v>1223</v>
      </c>
      <c r="H18" s="1441"/>
      <c r="I18" s="765"/>
    </row>
    <row r="19" spans="1:9" ht="22.5" customHeight="1">
      <c r="A19" s="428"/>
      <c r="B19" s="428"/>
      <c r="C19" s="385"/>
      <c r="D19" s="1429" t="s">
        <v>115</v>
      </c>
      <c r="E19" s="1436" t="s">
        <v>1225</v>
      </c>
      <c r="F19" s="1430" t="s">
        <v>424</v>
      </c>
      <c r="G19" s="6920" t="s">
        <v>1226</v>
      </c>
      <c r="H19" s="402"/>
    </row>
    <row r="20" spans="1:9" s="6549" customFormat="1" ht="5.25" hidden="1" customHeight="1">
      <c r="A20" s="428"/>
      <c r="B20" s="428"/>
      <c r="C20" s="1438"/>
      <c r="D20" s="1437" t="s">
        <v>1147</v>
      </c>
      <c r="E20" s="921"/>
      <c r="F20" s="920"/>
      <c r="G20" s="6921"/>
    </row>
    <row r="21" spans="1:9" ht="15" customHeight="1">
      <c r="A21" s="428"/>
      <c r="B21" s="428"/>
      <c r="C21" s="385"/>
      <c r="D21" s="394"/>
      <c r="E21" s="349" t="s">
        <v>459</v>
      </c>
      <c r="F21" s="396"/>
      <c r="G21" s="6922"/>
      <c r="H21" s="1441"/>
    </row>
    <row r="22" spans="1:9" s="2048" customFormat="1" ht="24.75" customHeight="1">
      <c r="A22" s="428"/>
      <c r="B22" s="428"/>
      <c r="C22" s="428"/>
      <c r="D22" s="1429" t="s">
        <v>91</v>
      </c>
      <c r="E22" s="401" t="s">
        <v>1227</v>
      </c>
      <c r="F22" s="1435"/>
      <c r="G22" s="401" t="s">
        <v>1228</v>
      </c>
      <c r="H22" s="1440"/>
    </row>
    <row r="23" spans="1:9" s="2048" customFormat="1" ht="18.75" customHeight="1">
      <c r="A23" s="428"/>
      <c r="B23" s="428"/>
      <c r="C23" s="428"/>
      <c r="D23" s="1429" t="s">
        <v>92</v>
      </c>
      <c r="E23" s="1436" t="s">
        <v>1229</v>
      </c>
      <c r="F23" s="1439"/>
      <c r="G23" s="401" t="s">
        <v>1230</v>
      </c>
      <c r="H23" s="1440"/>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042" hidden="1"/>
    <col min="2" max="2" width="9.140625" style="1830" hidden="1"/>
    <col min="3" max="3" width="3.7109375" style="2042" hidden="1" customWidth="1"/>
    <col min="4" max="4" width="3.85546875" style="2058" customWidth="1"/>
    <col min="5" max="5" width="6.28515625" style="2042" customWidth="1"/>
    <col min="6" max="6" width="46.7109375" style="2042" customWidth="1"/>
    <col min="7" max="8" width="16.7109375" style="2042" customWidth="1"/>
    <col min="9" max="9" width="35.28515625" style="2042" customWidth="1"/>
    <col min="10" max="10" width="89.5703125" style="2042" customWidth="1"/>
    <col min="11" max="11" width="3.7109375" style="1827" customWidth="1"/>
    <col min="12" max="14" width="9.140625" style="1827"/>
    <col min="15" max="15" width="25.7109375" style="1824" customWidth="1"/>
    <col min="16" max="16" width="14.42578125" style="1827" customWidth="1"/>
    <col min="17" max="20" width="9.140625" style="1825"/>
    <col min="21" max="254" width="9.140625" style="2042"/>
  </cols>
  <sheetData>
    <row r="1" spans="1:254" ht="14.25" hidden="1" customHeight="1"/>
    <row r="2" spans="1:254" s="1828" customFormat="1" ht="22.5" hidden="1" customHeight="1">
      <c r="A2" s="748"/>
      <c r="B2" s="1060">
        <v>1</v>
      </c>
      <c r="C2" s="1060"/>
      <c r="D2" s="718"/>
      <c r="E2" s="1393"/>
      <c r="F2" s="1400"/>
      <c r="G2" s="1400"/>
      <c r="H2" s="1400"/>
      <c r="I2" s="1446"/>
      <c r="J2" s="149"/>
      <c r="K2" s="1443"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17"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6" customFormat="1" ht="14.25" customHeight="1">
      <c r="A4" s="1055"/>
      <c r="B4" s="1060"/>
      <c r="C4" s="1055"/>
      <c r="D4" s="1404"/>
      <c r="E4" s="435"/>
      <c r="F4" s="435"/>
      <c r="G4" s="435"/>
      <c r="H4" s="435"/>
      <c r="I4" s="435"/>
      <c r="J4" s="87"/>
      <c r="K4" s="166"/>
      <c r="L4" s="426"/>
      <c r="M4" s="426"/>
      <c r="N4" s="426"/>
      <c r="O4" s="147"/>
      <c r="P4" s="426"/>
      <c r="Q4" s="146"/>
      <c r="R4" s="146"/>
      <c r="S4" s="146"/>
      <c r="T4" s="146"/>
    </row>
    <row r="5" spans="1:254" s="1826" customFormat="1" ht="25.5" customHeight="1">
      <c r="A5" s="1055"/>
      <c r="B5" s="1060"/>
      <c r="C5" s="1055"/>
      <c r="D5" s="1404"/>
      <c r="E5" s="660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6604"/>
      <c r="G5" s="6604"/>
      <c r="H5" s="6604"/>
      <c r="I5" s="6604"/>
      <c r="J5" s="6604"/>
      <c r="K5" s="166"/>
      <c r="L5" s="426"/>
      <c r="M5" s="426"/>
      <c r="N5" s="426"/>
      <c r="O5" s="147"/>
      <c r="P5" s="426"/>
      <c r="Q5" s="146"/>
      <c r="R5" s="146"/>
      <c r="S5" s="146"/>
      <c r="T5" s="146"/>
    </row>
    <row r="6" spans="1:254" s="1826" customFormat="1" ht="14.25" customHeight="1">
      <c r="A6" s="1055"/>
      <c r="B6" s="1060"/>
      <c r="C6" s="1055"/>
      <c r="D6" s="1404"/>
      <c r="E6" s="435"/>
      <c r="F6" s="88"/>
      <c r="G6" s="88"/>
      <c r="H6" s="88"/>
      <c r="I6" s="88"/>
      <c r="J6" s="89"/>
      <c r="K6" s="426"/>
      <c r="L6" s="426"/>
      <c r="M6" s="426"/>
      <c r="N6" s="426"/>
      <c r="O6" s="147"/>
      <c r="P6" s="426"/>
      <c r="Q6" s="146"/>
      <c r="R6" s="146"/>
      <c r="S6" s="146"/>
      <c r="T6" s="146"/>
    </row>
    <row r="7" spans="1:254" s="1826" customFormat="1" ht="14.25" customHeight="1">
      <c r="A7" s="1055"/>
      <c r="B7" s="1060"/>
      <c r="C7" s="1055"/>
      <c r="D7" s="1404"/>
      <c r="E7" s="6600" t="s">
        <v>418</v>
      </c>
      <c r="F7" s="6605"/>
      <c r="G7" s="6605"/>
      <c r="H7" s="6605"/>
      <c r="I7" s="6605"/>
      <c r="J7" s="6923" t="s">
        <v>419</v>
      </c>
      <c r="K7" s="426"/>
      <c r="L7" s="426"/>
      <c r="M7" s="426"/>
      <c r="N7" s="426"/>
      <c r="O7" s="147"/>
      <c r="P7" s="426"/>
      <c r="Q7" s="146"/>
      <c r="R7" s="146"/>
      <c r="S7" s="146"/>
      <c r="T7" s="146"/>
    </row>
    <row r="8" spans="1:254" s="1826" customFormat="1" ht="20.25" customHeight="1">
      <c r="A8" s="1055"/>
      <c r="B8" s="1060"/>
      <c r="C8" s="1055"/>
      <c r="D8" s="1404"/>
      <c r="E8" s="1462" t="s">
        <v>87</v>
      </c>
      <c r="F8" s="1448" t="s">
        <v>1231</v>
      </c>
      <c r="G8" s="1448" t="s">
        <v>47</v>
      </c>
      <c r="H8" s="1448" t="s">
        <v>49</v>
      </c>
      <c r="I8" s="1448" t="s">
        <v>1232</v>
      </c>
      <c r="J8" s="6924"/>
      <c r="K8" s="426"/>
      <c r="L8" s="426"/>
      <c r="M8" s="426"/>
      <c r="N8" s="426"/>
      <c r="O8" s="147"/>
      <c r="P8" s="426"/>
      <c r="Q8" s="146"/>
      <c r="R8" s="146"/>
      <c r="S8" s="146"/>
      <c r="T8" s="146"/>
    </row>
    <row r="9" spans="1:254" s="1828" customFormat="1" ht="22.5" customHeight="1">
      <c r="A9" s="6603"/>
      <c r="B9" s="1060">
        <v>1</v>
      </c>
      <c r="C9" s="1060"/>
      <c r="D9" s="718"/>
      <c r="E9" s="1393">
        <v>1</v>
      </c>
      <c r="F9" s="1461"/>
      <c r="G9" s="1400"/>
      <c r="H9" s="1400"/>
      <c r="I9" s="1446"/>
      <c r="J9" s="6925" t="s">
        <v>1233</v>
      </c>
      <c r="K9" s="1443"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28" customFormat="1" ht="15" customHeight="1">
      <c r="A10" s="6603"/>
      <c r="B10" s="1060"/>
      <c r="C10" s="346"/>
      <c r="D10" s="718"/>
      <c r="E10" s="1449"/>
      <c r="F10" s="1409" t="s">
        <v>1234</v>
      </c>
      <c r="G10" s="1450"/>
      <c r="H10" s="1450"/>
      <c r="I10" s="1450"/>
      <c r="J10" s="6926"/>
      <c r="K10" s="1444"/>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26"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26"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26"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5" customFormat="1" ht="10.5" customHeight="1">
      <c r="B14" s="751"/>
      <c r="D14" s="103"/>
      <c r="K14" s="426"/>
      <c r="L14" s="426"/>
      <c r="M14" s="426"/>
      <c r="N14" s="426"/>
      <c r="O14" s="147"/>
      <c r="P14" s="426"/>
      <c r="Q14" s="146"/>
      <c r="R14" s="146"/>
      <c r="S14" s="146"/>
      <c r="T14" s="146"/>
    </row>
    <row r="15" spans="1:254" s="1835"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90"/>
  <sheetViews>
    <sheetView showGridLines="0" topLeftCell="C4" zoomScale="90" workbookViewId="0">
      <selection activeCell="S108" sqref="S108:S109"/>
    </sheetView>
  </sheetViews>
  <sheetFormatPr defaultColWidth="9.140625" defaultRowHeight="11.25" customHeight="1"/>
  <cols>
    <col min="1" max="2" width="3.7109375" style="2035" hidden="1" customWidth="1"/>
    <col min="3" max="3" width="3.7109375" style="2036" customWidth="1"/>
    <col min="4" max="4" width="6.140625" style="2036" customWidth="1"/>
    <col min="5" max="5" width="43.140625" style="2036" customWidth="1"/>
    <col min="6" max="6" width="15" style="1852" customWidth="1"/>
    <col min="7" max="7" width="43.140625" style="2036" customWidth="1"/>
    <col min="8" max="8" width="3.7109375" style="2036" customWidth="1"/>
    <col min="9" max="9" width="5.42578125" style="2036" customWidth="1"/>
    <col min="10" max="10" width="47.85546875" style="2036" customWidth="1"/>
    <col min="11" max="12" width="3.7109375" style="2036" customWidth="1"/>
    <col min="13" max="13" width="5.7109375" style="2036" customWidth="1"/>
    <col min="14" max="14" width="28.140625" style="2036" customWidth="1"/>
    <col min="15" max="16" width="3.7109375" style="2036" customWidth="1"/>
    <col min="17" max="17" width="5.7109375" style="2036" customWidth="1"/>
    <col min="18" max="18" width="34.42578125" style="2036" customWidth="1"/>
    <col min="19" max="20" width="3.7109375" style="2037" customWidth="1"/>
    <col min="21" max="21" width="5.7109375" style="2037" customWidth="1"/>
    <col min="22" max="22" width="34.42578125" style="2037" customWidth="1"/>
    <col min="23" max="23" width="30.7109375" style="2036" customWidth="1"/>
    <col min="24" max="24" width="3.7109375" style="2036" customWidth="1"/>
    <col min="25" max="28" width="9.85546875" style="1847" hidden="1" customWidth="1"/>
    <col min="29" max="29" width="27" style="1847" hidden="1" customWidth="1"/>
    <col min="30" max="30" width="10.5703125" style="1847" hidden="1" customWidth="1"/>
    <col min="31" max="31" width="10.7109375" style="1847" hidden="1" customWidth="1"/>
    <col min="32" max="32" width="10" style="1847" hidden="1" customWidth="1"/>
    <col min="33" max="33" width="12.85546875" style="1847" hidden="1" customWidth="1"/>
    <col min="34" max="34" width="10.28515625" style="1847" hidden="1" customWidth="1"/>
    <col min="35" max="35" width="15.85546875" style="1847" hidden="1" customWidth="1"/>
    <col min="36" max="36" width="19.42578125" style="1847" hidden="1" customWidth="1"/>
    <col min="37" max="37" width="11" style="1847" hidden="1" customWidth="1"/>
    <col min="38" max="38" width="23.5703125" style="1847" hidden="1" customWidth="1"/>
    <col min="39" max="39" width="23.85546875" style="1847" hidden="1" customWidth="1"/>
    <col min="40" max="40" width="25.28515625" style="1847" hidden="1" customWidth="1"/>
    <col min="41" max="41" width="16.85546875" style="1847" hidden="1" customWidth="1"/>
    <col min="42" max="42" width="29.5703125" style="1847" hidden="1" customWidth="1"/>
    <col min="43" max="43" width="29.85546875" style="1847" hidden="1" customWidth="1"/>
    <col min="44" max="44" width="9.140625" style="2036" hidden="1"/>
  </cols>
  <sheetData>
    <row r="1" spans="1:43" ht="11.25" hidden="1" customHeight="1">
      <c r="A1" s="78"/>
    </row>
    <row r="2" spans="1:43" ht="11.25" hidden="1" customHeight="1"/>
    <row r="3" spans="1:43" ht="11.25" hidden="1" customHeight="1"/>
    <row r="4" spans="1:43" ht="3" customHeight="1"/>
    <row r="5" spans="1:43" s="1845" customFormat="1" ht="29.25" customHeight="1">
      <c r="A5" s="76"/>
      <c r="B5" s="76"/>
      <c r="D5" s="66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6663"/>
      <c r="F5" s="6663"/>
      <c r="G5" s="6663"/>
      <c r="H5" s="6663"/>
      <c r="I5" s="6663"/>
      <c r="J5" s="6664"/>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7" customFormat="1" ht="15" customHeight="1">
      <c r="A6" s="509"/>
      <c r="B6" s="509"/>
      <c r="C6" s="509"/>
      <c r="D6" s="6668" t="str">
        <f>IF(org=0,"Не определено",org)</f>
        <v>ООО "Марикоммунэнерго"</v>
      </c>
      <c r="E6" s="6668"/>
      <c r="F6" s="6668"/>
      <c r="G6" s="6668"/>
      <c r="H6" s="6668"/>
      <c r="I6" s="6668"/>
      <c r="J6" s="6668"/>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6" customFormat="1" ht="11.25" customHeight="1">
      <c r="A7" s="132"/>
      <c r="B7" s="132"/>
      <c r="D7" s="6665"/>
      <c r="E7" s="6666"/>
      <c r="F7" s="6666"/>
      <c r="G7" s="6666"/>
      <c r="H7" s="6666"/>
      <c r="I7" s="6666"/>
      <c r="J7" s="6667"/>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5"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6629" t="s">
        <v>87</v>
      </c>
      <c r="E9" s="6600" t="s">
        <v>188</v>
      </c>
      <c r="F9" s="6599"/>
      <c r="G9" s="6629" t="s">
        <v>174</v>
      </c>
      <c r="H9" s="6629" t="s">
        <v>87</v>
      </c>
      <c r="I9" s="6629"/>
      <c r="J9" s="6629" t="s">
        <v>189</v>
      </c>
      <c r="K9" s="6657" t="s">
        <v>190</v>
      </c>
      <c r="L9" s="6657"/>
      <c r="M9" s="6657"/>
      <c r="N9" s="6657"/>
      <c r="O9" s="6657" t="s">
        <v>191</v>
      </c>
      <c r="P9" s="6657"/>
      <c r="Q9" s="6657"/>
      <c r="R9" s="6657"/>
      <c r="S9" s="6657" t="s">
        <v>192</v>
      </c>
      <c r="T9" s="6657"/>
      <c r="U9" s="6657"/>
      <c r="V9" s="6657"/>
      <c r="W9" s="6629" t="s">
        <v>193</v>
      </c>
    </row>
    <row r="10" spans="1:43" ht="30" customHeight="1">
      <c r="D10" s="6629"/>
      <c r="E10" s="1203" t="s">
        <v>88</v>
      </c>
      <c r="F10" s="1203" t="s">
        <v>194</v>
      </c>
      <c r="G10" s="6629"/>
      <c r="H10" s="6629"/>
      <c r="I10" s="6629"/>
      <c r="J10" s="6629"/>
      <c r="K10" s="41" t="s">
        <v>177</v>
      </c>
      <c r="L10" s="6629" t="s">
        <v>87</v>
      </c>
      <c r="M10" s="6629"/>
      <c r="N10" s="41" t="s">
        <v>195</v>
      </c>
      <c r="O10" s="41" t="s">
        <v>177</v>
      </c>
      <c r="P10" s="6629" t="s">
        <v>87</v>
      </c>
      <c r="Q10" s="6629"/>
      <c r="R10" s="41" t="s">
        <v>195</v>
      </c>
      <c r="S10" s="202" t="s">
        <v>177</v>
      </c>
      <c r="T10" s="6629" t="s">
        <v>87</v>
      </c>
      <c r="U10" s="6629"/>
      <c r="V10" s="202" t="s">
        <v>88</v>
      </c>
      <c r="W10" s="6629"/>
      <c r="Z10" s="1179" t="s">
        <v>196</v>
      </c>
      <c r="AA10" s="1179" t="s">
        <v>197</v>
      </c>
      <c r="AB10" s="1179" t="s">
        <v>198</v>
      </c>
      <c r="AC10" s="1179" t="s">
        <v>199</v>
      </c>
      <c r="AD10" s="1179" t="s">
        <v>200</v>
      </c>
      <c r="AE10" s="1179" t="s">
        <v>201</v>
      </c>
      <c r="AF10" s="1179" t="s">
        <v>202</v>
      </c>
      <c r="AG10" s="1179" t="s">
        <v>203</v>
      </c>
      <c r="AH10" s="1179" t="s">
        <v>204</v>
      </c>
      <c r="AI10" s="1179" t="s">
        <v>205</v>
      </c>
      <c r="AJ10" s="1179" t="s">
        <v>206</v>
      </c>
      <c r="AK10" s="1179" t="s">
        <v>207</v>
      </c>
      <c r="AL10" s="1179" t="s">
        <v>208</v>
      </c>
      <c r="AM10" s="1179" t="s">
        <v>209</v>
      </c>
      <c r="AN10" s="1179" t="s">
        <v>210</v>
      </c>
      <c r="AO10" s="1179" t="s">
        <v>211</v>
      </c>
      <c r="AP10" s="1179" t="s">
        <v>212</v>
      </c>
      <c r="AQ10" s="1179" t="s">
        <v>213</v>
      </c>
    </row>
    <row r="11" spans="1:43" s="1848" customFormat="1" ht="12" hidden="1" customHeight="1">
      <c r="D11" s="1159" t="s">
        <v>178</v>
      </c>
      <c r="E11" s="1159" t="s">
        <v>98</v>
      </c>
      <c r="F11" s="1159"/>
      <c r="G11" s="1159" t="s">
        <v>89</v>
      </c>
      <c r="H11" s="6658" t="s">
        <v>115</v>
      </c>
      <c r="I11" s="6658"/>
      <c r="J11" s="1159" t="s">
        <v>91</v>
      </c>
      <c r="K11" s="1159" t="s">
        <v>92</v>
      </c>
      <c r="L11" s="6658" t="s">
        <v>128</v>
      </c>
      <c r="M11" s="6658"/>
      <c r="N11" s="1159" t="s">
        <v>133</v>
      </c>
      <c r="O11" s="1159" t="s">
        <v>138</v>
      </c>
      <c r="P11" s="6658" t="s">
        <v>104</v>
      </c>
      <c r="Q11" s="6658"/>
      <c r="R11" s="1159" t="s">
        <v>147</v>
      </c>
      <c r="S11" s="1159" t="s">
        <v>104</v>
      </c>
      <c r="T11" s="6658" t="s">
        <v>147</v>
      </c>
      <c r="U11" s="6658"/>
      <c r="V11" s="1159" t="s">
        <v>152</v>
      </c>
      <c r="W11" s="1159" t="s">
        <v>157</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49" customFormat="1" ht="17.25" customHeight="1">
      <c r="A13" s="245"/>
      <c r="C13" s="130"/>
      <c r="D13" s="6643">
        <v>1</v>
      </c>
      <c r="E13" s="6645" t="s">
        <v>214</v>
      </c>
      <c r="F13" s="6647" t="s">
        <v>56</v>
      </c>
      <c r="G13" s="6645"/>
      <c r="H13" s="6650"/>
      <c r="I13" s="6652"/>
      <c r="J13" s="6654"/>
      <c r="K13" s="6637"/>
      <c r="L13" s="6637"/>
      <c r="M13" s="6637"/>
      <c r="N13" s="6639"/>
      <c r="O13" s="6637"/>
      <c r="P13" s="6637"/>
      <c r="Q13" s="6637"/>
      <c r="R13" s="6642"/>
      <c r="S13" s="6637"/>
      <c r="T13" s="1334"/>
      <c r="U13" s="1334"/>
      <c r="V13" s="1333"/>
      <c r="W13" s="1215"/>
      <c r="Y13" s="1186"/>
      <c r="Z13" s="1186"/>
      <c r="AA13" s="1186"/>
      <c r="AB13" s="1186"/>
      <c r="AC13" s="1186" t="s">
        <v>215</v>
      </c>
      <c r="AD13" s="1186" t="s">
        <v>216</v>
      </c>
      <c r="AE13" s="1186" t="s">
        <v>217</v>
      </c>
      <c r="AF13" s="1186" t="s">
        <v>218</v>
      </c>
      <c r="AG13" s="1186" t="s">
        <v>219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49" customFormat="1" ht="17.25" customHeight="1">
      <c r="A14" s="245"/>
      <c r="C14" s="244"/>
      <c r="D14" s="6643"/>
      <c r="E14" s="6645"/>
      <c r="F14" s="6648"/>
      <c r="G14" s="6645"/>
      <c r="H14" s="6651"/>
      <c r="I14" s="6653"/>
      <c r="J14" s="6655"/>
      <c r="K14" s="6638"/>
      <c r="L14" s="6638"/>
      <c r="M14" s="6638"/>
      <c r="N14" s="6640"/>
      <c r="O14" s="6638"/>
      <c r="P14" s="6638"/>
      <c r="Q14" s="6638"/>
      <c r="R14" s="6641"/>
      <c r="S14" s="6638"/>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50" customFormat="1" ht="17.25" customHeight="1">
      <c r="A15" s="245"/>
      <c r="C15" s="130"/>
      <c r="D15" s="6643"/>
      <c r="E15" s="6645"/>
      <c r="F15" s="6648"/>
      <c r="G15" s="6645"/>
      <c r="H15" s="6651"/>
      <c r="I15" s="6653"/>
      <c r="J15" s="6656"/>
      <c r="K15" s="6638"/>
      <c r="L15" s="6638"/>
      <c r="M15" s="6638"/>
      <c r="N15" s="6641"/>
      <c r="O15" s="6638"/>
      <c r="P15" s="1332"/>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50" customFormat="1" ht="17.25" customHeight="1">
      <c r="A16" s="245"/>
      <c r="C16" s="244"/>
      <c r="D16" s="6643"/>
      <c r="E16" s="6645"/>
      <c r="F16" s="6648"/>
      <c r="G16" s="6645"/>
      <c r="H16" s="6651"/>
      <c r="I16" s="6653"/>
      <c r="J16" s="6656"/>
      <c r="K16" s="6638"/>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4" s="1849" customFormat="1" ht="17.25" customHeight="1">
      <c r="A17" s="245"/>
      <c r="C17" s="244"/>
      <c r="D17" s="6644"/>
      <c r="E17" s="6646"/>
      <c r="F17" s="6649"/>
      <c r="G17" s="6646"/>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4" s="1852" customFormat="1" ht="17.25" customHeight="1">
      <c r="A18" s="245"/>
      <c r="C18" s="130"/>
      <c r="D18" s="6643">
        <v>2</v>
      </c>
      <c r="E18" s="6645" t="s">
        <v>220</v>
      </c>
      <c r="F18" s="6647" t="s">
        <v>61</v>
      </c>
      <c r="G18" s="6659"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18" s="6682"/>
      <c r="I18" s="6682">
        <v>1</v>
      </c>
      <c r="J18" s="6685" t="s">
        <v>221</v>
      </c>
      <c r="K18" s="6688" t="s">
        <v>61</v>
      </c>
      <c r="L18" s="6611"/>
      <c r="M18" s="6611" t="s">
        <v>178</v>
      </c>
      <c r="N18" s="6683" t="str">
        <f>IF(Z18="","",INDEX(TERRITORY_MR_LIST,MATCH(Z18,TERRITORY_LIST_ID,0)))</f>
        <v>Территория 15</v>
      </c>
      <c r="O18" s="6688" t="s">
        <v>56</v>
      </c>
      <c r="P18" s="6611"/>
      <c r="Q18" s="6611" t="s">
        <v>178</v>
      </c>
      <c r="R18" s="6690" t="s">
        <v>24</v>
      </c>
      <c r="S18" s="6610" t="s">
        <v>56</v>
      </c>
      <c r="T18" s="1854"/>
      <c r="U18" s="1854" t="s">
        <v>178</v>
      </c>
      <c r="V18" s="1855" t="s">
        <v>24</v>
      </c>
      <c r="W18" s="1853"/>
      <c r="X18" s="1186"/>
      <c r="Y18" s="1186"/>
      <c r="Z18" s="1186" t="s">
        <v>163</v>
      </c>
      <c r="AA18" s="1186"/>
      <c r="AB18" s="1186" t="s">
        <v>222</v>
      </c>
      <c r="AC18" s="1186" t="s">
        <v>223</v>
      </c>
      <c r="AD18" s="1186" t="s">
        <v>224</v>
      </c>
      <c r="AE18" s="1186" t="s">
        <v>225</v>
      </c>
      <c r="AF18" s="1186" t="s">
        <v>226</v>
      </c>
      <c r="AG18" s="1186" t="s">
        <v>227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 Передача. Тепловая энергия, Сбыт. Тепловая энергия</v>
      </c>
      <c r="AJ18" s="1186" t="str">
        <f>IF($J$18=0,"",$J$18)</f>
        <v>Тариф на тепловую энергию (мощность), поставляемую потребителям</v>
      </c>
      <c r="AK18" s="1186" t="str">
        <f>IF($K$18="нет","без дифференциации",IF($N$18=0,"",$N$18))</f>
        <v>Территория 15</v>
      </c>
      <c r="AL18" s="1186" t="str">
        <f>IF($O$18="нет","без дифференциации",IF($R$18=0,"",$R$18))</f>
        <v>без дифференциации</v>
      </c>
      <c r="AM18" s="1186" t="str">
        <f>IF($S$18="нет","без дифференциации",IF($V$18=0,"",$V$18))</f>
        <v>без дифференциации</v>
      </c>
      <c r="AN18" s="1681">
        <f>$I$18</f>
        <v>1</v>
      </c>
      <c r="AO18" s="1186" t="str">
        <f>$I$18&amp;"."&amp;$M$18</f>
        <v>1.1</v>
      </c>
      <c r="AP18" s="1179" t="str">
        <f>$I$18&amp;"."&amp;$M$18&amp;"."&amp;$Q$18</f>
        <v>1.1.1</v>
      </c>
      <c r="AQ18" s="1179" t="str">
        <f>$I$18&amp;"."&amp;$M$18&amp;"."&amp;$Q$18&amp;"."&amp;$U$18</f>
        <v>1.1.1.1</v>
      </c>
    </row>
    <row r="19" spans="1:44" s="1852" customFormat="1" ht="17.25" customHeight="1">
      <c r="A19" s="245"/>
      <c r="C19" s="244"/>
      <c r="D19" s="6643"/>
      <c r="E19" s="6645"/>
      <c r="F19" s="6648"/>
      <c r="G19" s="6659"/>
      <c r="H19" s="6682"/>
      <c r="I19" s="6682"/>
      <c r="J19" s="6685"/>
      <c r="K19" s="6689"/>
      <c r="L19" s="6611"/>
      <c r="M19" s="6611"/>
      <c r="N19" s="6683"/>
      <c r="O19" s="6689"/>
      <c r="P19" s="6611"/>
      <c r="Q19" s="6611"/>
      <c r="R19" s="6690" t="s">
        <v>24</v>
      </c>
      <c r="S19" s="6610"/>
      <c r="T19" s="1857"/>
      <c r="U19" s="1858"/>
      <c r="V19" s="1859" t="s">
        <v>228</v>
      </c>
      <c r="W19" s="1860"/>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4" s="1852" customFormat="1" ht="17.25" customHeight="1">
      <c r="A20" s="245"/>
      <c r="C20" s="244"/>
      <c r="D20" s="6644"/>
      <c r="E20" s="6646"/>
      <c r="F20" s="6648"/>
      <c r="G20" s="6660"/>
      <c r="H20" s="6644"/>
      <c r="I20" s="6644"/>
      <c r="J20" s="6686"/>
      <c r="K20" s="6689"/>
      <c r="L20" s="6644"/>
      <c r="M20" s="6644"/>
      <c r="N20" s="6684"/>
      <c r="O20" s="6615"/>
      <c r="P20" s="1861"/>
      <c r="Q20" s="1862"/>
      <c r="R20" s="1863" t="s">
        <v>229</v>
      </c>
      <c r="S20" s="1864"/>
      <c r="T20" s="1865"/>
      <c r="U20" s="1866"/>
      <c r="V20" s="1867"/>
      <c r="W20" s="1868"/>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4" ht="17.25" customHeight="1">
      <c r="A21" s="1747"/>
      <c r="B21" s="1869"/>
      <c r="C21" s="1749"/>
      <c r="D21" s="6669"/>
      <c r="E21" s="6670"/>
      <c r="F21" s="6648"/>
      <c r="G21" s="6661"/>
      <c r="H21" s="6669"/>
      <c r="I21" s="6669"/>
      <c r="J21" s="6687"/>
      <c r="K21" s="6691"/>
      <c r="L21" s="6611" t="s">
        <v>102</v>
      </c>
      <c r="M21" s="6611" t="s">
        <v>98</v>
      </c>
      <c r="N21" s="6683" t="str">
        <f>IF(Z21="","",INDEX(TERRITORY_MR_LIST,MATCH(Z21,TERRITORY_LIST_ID,0)))</f>
        <v>Территория 16</v>
      </c>
      <c r="O21" s="6688" t="s">
        <v>56</v>
      </c>
      <c r="P21" s="6611"/>
      <c r="Q21" s="6611" t="s">
        <v>178</v>
      </c>
      <c r="R21" s="6690" t="s">
        <v>24</v>
      </c>
      <c r="S21" s="6610" t="s">
        <v>56</v>
      </c>
      <c r="T21" s="1720"/>
      <c r="U21" s="1720" t="s">
        <v>178</v>
      </c>
      <c r="V21" s="1870" t="s">
        <v>24</v>
      </c>
      <c r="W21" s="1710"/>
      <c r="X21" s="1869"/>
      <c r="Y21" s="1186"/>
      <c r="Z21" s="1186" t="s">
        <v>168</v>
      </c>
      <c r="AA21" s="1186"/>
      <c r="AB21" s="1186"/>
      <c r="AC21" s="1871" t="s">
        <v>223</v>
      </c>
      <c r="AD21" s="1871" t="s">
        <v>224</v>
      </c>
      <c r="AE21" s="1186" t="s">
        <v>230</v>
      </c>
      <c r="AF21" s="1186" t="s">
        <v>231</v>
      </c>
      <c r="AG21" s="1186" t="s">
        <v>232</v>
      </c>
      <c r="AH21"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1" s="1186" t="str">
        <f>IF($G$18=0,"",$G$18)</f>
        <v>Производство тепловой энергии. Некомбинированная выработка, Передача. Тепловая энергия, Сбыт. Тепловая энергия</v>
      </c>
      <c r="AJ21" s="1186" t="str">
        <f>IF($J$18=0,"",$J$18)</f>
        <v>Тариф на тепловую энергию (мощность), поставляемую потребителям</v>
      </c>
      <c r="AK21" s="1186" t="str">
        <f>IF($K$21="нет","без дифференциации",IF($N$21=0,"",$N$21))</f>
        <v>Территория 16</v>
      </c>
      <c r="AL21" s="1751" t="str">
        <f>IF($O$21="нет","без дифференциации",IF($R$21=0,"",$R$21))</f>
        <v>без дифференциации</v>
      </c>
      <c r="AM21" s="1751" t="str">
        <f>IF($S$21="нет","без дифференциации",IF($V$21=0,"",$V$21))</f>
        <v>без дифференциации</v>
      </c>
      <c r="AN21" s="1186">
        <f>$I$18</f>
        <v>1</v>
      </c>
      <c r="AO21" s="1186" t="str">
        <f>$I$18&amp;"."&amp;$M$21</f>
        <v>1.2</v>
      </c>
      <c r="AP21" s="1186" t="str">
        <f>$I$18&amp;"."&amp;$M$21&amp;"."&amp;$Q$21</f>
        <v>1.2.1</v>
      </c>
      <c r="AQ21" s="1186" t="str">
        <f>$I$18&amp;"."&amp;$M$21&amp;"."&amp;$Q$21&amp;"."&amp;$U$21</f>
        <v>1.2.1.1</v>
      </c>
      <c r="AR21" s="1869"/>
    </row>
    <row r="22" spans="1:44" ht="17.25" customHeight="1">
      <c r="A22" s="1747"/>
      <c r="B22" s="1869"/>
      <c r="C22" s="1752"/>
      <c r="D22" s="6669"/>
      <c r="E22" s="6670"/>
      <c r="F22" s="6648"/>
      <c r="G22" s="6661"/>
      <c r="H22" s="6669"/>
      <c r="I22" s="6669"/>
      <c r="J22" s="6687"/>
      <c r="K22" s="6691"/>
      <c r="L22" s="6611"/>
      <c r="M22" s="6611"/>
      <c r="N22" s="6683"/>
      <c r="O22" s="6689"/>
      <c r="P22" s="6611"/>
      <c r="Q22" s="6611"/>
      <c r="R22" s="6690" t="s">
        <v>24</v>
      </c>
      <c r="S22" s="6610"/>
      <c r="T22" s="241"/>
      <c r="U22" s="242"/>
      <c r="V22" s="242" t="s">
        <v>228</v>
      </c>
      <c r="W22" s="243"/>
      <c r="X22" s="1869"/>
      <c r="Y22" s="1179"/>
      <c r="Z22" s="1179"/>
      <c r="AA22" s="1179"/>
      <c r="AB22" s="1179"/>
      <c r="AC22" s="1179"/>
      <c r="AD22" s="1179"/>
      <c r="AE22" s="1179"/>
      <c r="AF22" s="1179"/>
      <c r="AG22" s="1179"/>
      <c r="AH22" s="1179"/>
      <c r="AI22" s="1179"/>
      <c r="AJ22" s="1179"/>
      <c r="AK22" s="1179"/>
      <c r="AL22" s="1869"/>
      <c r="AM22" s="1869"/>
      <c r="AN22" s="1869"/>
      <c r="AO22" s="1869"/>
      <c r="AP22" s="1869"/>
      <c r="AQ22" s="1869"/>
      <c r="AR22" s="1869"/>
    </row>
    <row r="23" spans="1:44" ht="17.25" customHeight="1">
      <c r="A23" s="1747"/>
      <c r="B23" s="1869"/>
      <c r="C23" s="1752"/>
      <c r="D23" s="6669"/>
      <c r="E23" s="6670"/>
      <c r="F23" s="6648"/>
      <c r="G23" s="6661"/>
      <c r="H23" s="6669"/>
      <c r="I23" s="6669"/>
      <c r="J23" s="6687"/>
      <c r="K23" s="6691"/>
      <c r="L23" s="6644"/>
      <c r="M23" s="6644"/>
      <c r="N23" s="6684"/>
      <c r="O23" s="6615"/>
      <c r="P23" s="241"/>
      <c r="Q23" s="242"/>
      <c r="R23" s="242" t="s">
        <v>229</v>
      </c>
      <c r="S23" s="1753"/>
      <c r="T23" s="1753"/>
      <c r="U23" s="1753"/>
      <c r="V23" s="1753"/>
      <c r="W23" s="243"/>
      <c r="X23" s="1869"/>
      <c r="Y23" s="1179"/>
      <c r="Z23" s="1179"/>
      <c r="AA23" s="1179"/>
      <c r="AB23" s="1179"/>
      <c r="AC23" s="1179"/>
      <c r="AD23" s="1179"/>
      <c r="AE23" s="1179"/>
      <c r="AF23" s="1179"/>
      <c r="AG23" s="1179"/>
      <c r="AH23" s="1179"/>
      <c r="AI23" s="1179"/>
      <c r="AJ23" s="1179"/>
      <c r="AK23" s="1179"/>
      <c r="AL23" s="1869"/>
      <c r="AM23" s="1869"/>
      <c r="AN23" s="1869"/>
      <c r="AO23" s="1869"/>
      <c r="AP23" s="1869"/>
      <c r="AQ23" s="1869"/>
      <c r="AR23" s="1869"/>
    </row>
    <row r="24" spans="1:44" ht="17.25" customHeight="1">
      <c r="A24" s="1747"/>
      <c r="B24" s="1869"/>
      <c r="C24" s="1749"/>
      <c r="D24" s="6669"/>
      <c r="E24" s="6670"/>
      <c r="F24" s="6648"/>
      <c r="G24" s="6661"/>
      <c r="H24" s="6669"/>
      <c r="I24" s="6669"/>
      <c r="J24" s="6687"/>
      <c r="K24" s="6691"/>
      <c r="L24" s="6611" t="s">
        <v>102</v>
      </c>
      <c r="M24" s="6611" t="s">
        <v>89</v>
      </c>
      <c r="N24" s="6683" t="str">
        <f>IF(Z24="","",INDEX(TERRITORY_MR_LIST,MATCH(Z24,TERRITORY_LIST_ID,0)))</f>
        <v>Территория 2</v>
      </c>
      <c r="O24" s="6688" t="s">
        <v>56</v>
      </c>
      <c r="P24" s="6611"/>
      <c r="Q24" s="6611" t="s">
        <v>178</v>
      </c>
      <c r="R24" s="6690" t="s">
        <v>24</v>
      </c>
      <c r="S24" s="6610" t="s">
        <v>56</v>
      </c>
      <c r="T24" s="1720"/>
      <c r="U24" s="1720" t="s">
        <v>178</v>
      </c>
      <c r="V24" s="1870" t="s">
        <v>24</v>
      </c>
      <c r="W24" s="1710"/>
      <c r="X24" s="1869"/>
      <c r="Y24" s="1186"/>
      <c r="Z24" s="1186" t="s">
        <v>103</v>
      </c>
      <c r="AA24" s="1186"/>
      <c r="AB24" s="1186"/>
      <c r="AC24" s="1871" t="s">
        <v>223</v>
      </c>
      <c r="AD24" s="1871" t="s">
        <v>224</v>
      </c>
      <c r="AE24" s="1186" t="s">
        <v>233</v>
      </c>
      <c r="AF24" s="1186" t="s">
        <v>234</v>
      </c>
      <c r="AG24" s="1186" t="s">
        <v>235</v>
      </c>
      <c r="AH24"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4" s="1186" t="str">
        <f>IF($G$18=0,"",$G$18)</f>
        <v>Производство тепловой энергии. Некомбинированная выработка, Передача. Тепловая энергия, Сбыт. Тепловая энергия</v>
      </c>
      <c r="AJ24" s="1186" t="str">
        <f>IF($J$18=0,"",$J$18)</f>
        <v>Тариф на тепловую энергию (мощность), поставляемую потребителям</v>
      </c>
      <c r="AK24" s="1186" t="str">
        <f>IF($K$24="нет","без дифференциации",IF($N$24=0,"",$N$24))</f>
        <v>Территория 2</v>
      </c>
      <c r="AL24" s="1751" t="str">
        <f>IF($O$24="нет","без дифференциации",IF($R$24=0,"",$R$24))</f>
        <v>без дифференциации</v>
      </c>
      <c r="AM24" s="1751" t="str">
        <f>IF($S$24="нет","без дифференциации",IF($V$24=0,"",$V$24))</f>
        <v>без дифференциации</v>
      </c>
      <c r="AN24" s="1186">
        <f>$I$18</f>
        <v>1</v>
      </c>
      <c r="AO24" s="1186" t="str">
        <f>$I$18&amp;"."&amp;$M$24</f>
        <v>1.3</v>
      </c>
      <c r="AP24" s="1186" t="str">
        <f>$I$18&amp;"."&amp;$M$24&amp;"."&amp;$Q$24</f>
        <v>1.3.1</v>
      </c>
      <c r="AQ24" s="1186" t="str">
        <f>$I$18&amp;"."&amp;$M$24&amp;"."&amp;$Q$24&amp;"."&amp;$U$24</f>
        <v>1.3.1.1</v>
      </c>
      <c r="AR24" s="1869"/>
    </row>
    <row r="25" spans="1:44" ht="17.25" customHeight="1">
      <c r="A25" s="1747"/>
      <c r="B25" s="1869"/>
      <c r="C25" s="1752"/>
      <c r="D25" s="6669"/>
      <c r="E25" s="6670"/>
      <c r="F25" s="6648"/>
      <c r="G25" s="6661"/>
      <c r="H25" s="6669"/>
      <c r="I25" s="6669"/>
      <c r="J25" s="6687"/>
      <c r="K25" s="6691"/>
      <c r="L25" s="6611"/>
      <c r="M25" s="6611"/>
      <c r="N25" s="6683"/>
      <c r="O25" s="6689"/>
      <c r="P25" s="6611"/>
      <c r="Q25" s="6611"/>
      <c r="R25" s="6690" t="s">
        <v>24</v>
      </c>
      <c r="S25" s="6610"/>
      <c r="T25" s="241"/>
      <c r="U25" s="242"/>
      <c r="V25" s="242" t="s">
        <v>228</v>
      </c>
      <c r="W25" s="243"/>
      <c r="X25" s="1869"/>
      <c r="Y25" s="1179"/>
      <c r="Z25" s="1179"/>
      <c r="AA25" s="1179"/>
      <c r="AB25" s="1179"/>
      <c r="AC25" s="1179"/>
      <c r="AD25" s="1179"/>
      <c r="AE25" s="1179"/>
      <c r="AF25" s="1179"/>
      <c r="AG25" s="1179"/>
      <c r="AH25" s="1179"/>
      <c r="AI25" s="1179"/>
      <c r="AJ25" s="1179"/>
      <c r="AK25" s="1179"/>
      <c r="AL25" s="1869"/>
      <c r="AM25" s="1869"/>
      <c r="AN25" s="1869"/>
      <c r="AO25" s="1869"/>
      <c r="AP25" s="1869"/>
      <c r="AQ25" s="1869"/>
      <c r="AR25" s="1869"/>
    </row>
    <row r="26" spans="1:44" ht="17.25" customHeight="1">
      <c r="A26" s="1747"/>
      <c r="B26" s="1869"/>
      <c r="C26" s="1752"/>
      <c r="D26" s="6669"/>
      <c r="E26" s="6670"/>
      <c r="F26" s="6648"/>
      <c r="G26" s="6661"/>
      <c r="H26" s="6669"/>
      <c r="I26" s="6669"/>
      <c r="J26" s="6687"/>
      <c r="K26" s="6691"/>
      <c r="L26" s="6644"/>
      <c r="M26" s="6644"/>
      <c r="N26" s="6684"/>
      <c r="O26" s="6615"/>
      <c r="P26" s="241"/>
      <c r="Q26" s="242"/>
      <c r="R26" s="242" t="s">
        <v>229</v>
      </c>
      <c r="S26" s="1753"/>
      <c r="T26" s="1753"/>
      <c r="U26" s="1753"/>
      <c r="V26" s="1753"/>
      <c r="W26" s="243"/>
      <c r="X26" s="1869"/>
      <c r="Y26" s="1179"/>
      <c r="Z26" s="1179"/>
      <c r="AA26" s="1179"/>
      <c r="AB26" s="1179"/>
      <c r="AC26" s="1179"/>
      <c r="AD26" s="1179"/>
      <c r="AE26" s="1179"/>
      <c r="AF26" s="1179"/>
      <c r="AG26" s="1179"/>
      <c r="AH26" s="1179"/>
      <c r="AI26" s="1179"/>
      <c r="AJ26" s="1179"/>
      <c r="AK26" s="1179"/>
      <c r="AL26" s="1869"/>
      <c r="AM26" s="1869"/>
      <c r="AN26" s="1869"/>
      <c r="AO26" s="1869"/>
      <c r="AP26" s="1869"/>
      <c r="AQ26" s="1869"/>
      <c r="AR26" s="1869"/>
    </row>
    <row r="27" spans="1:44" ht="17.25" customHeight="1">
      <c r="A27" s="1747"/>
      <c r="B27" s="1869"/>
      <c r="C27" s="1749"/>
      <c r="D27" s="6669"/>
      <c r="E27" s="6670"/>
      <c r="F27" s="6648"/>
      <c r="G27" s="6661"/>
      <c r="H27" s="6669"/>
      <c r="I27" s="6669"/>
      <c r="J27" s="6687"/>
      <c r="K27" s="6691"/>
      <c r="L27" s="6611" t="s">
        <v>102</v>
      </c>
      <c r="M27" s="6611" t="s">
        <v>90</v>
      </c>
      <c r="N27" s="6683" t="str">
        <f>IF(Z27="","",INDEX(TERRITORY_MR_LIST,MATCH(Z27,TERRITORY_LIST_ID,0)))</f>
        <v>Территория 3</v>
      </c>
      <c r="O27" s="6688" t="s">
        <v>56</v>
      </c>
      <c r="P27" s="6611"/>
      <c r="Q27" s="6611" t="s">
        <v>178</v>
      </c>
      <c r="R27" s="6690" t="s">
        <v>24</v>
      </c>
      <c r="S27" s="6610" t="s">
        <v>56</v>
      </c>
      <c r="T27" s="1720"/>
      <c r="U27" s="1720" t="s">
        <v>178</v>
      </c>
      <c r="V27" s="1870" t="s">
        <v>24</v>
      </c>
      <c r="W27" s="1710"/>
      <c r="X27" s="1869"/>
      <c r="Y27" s="1186"/>
      <c r="Z27" s="1186" t="s">
        <v>107</v>
      </c>
      <c r="AA27" s="1186"/>
      <c r="AB27" s="1186"/>
      <c r="AC27" s="1871" t="s">
        <v>223</v>
      </c>
      <c r="AD27" s="1871" t="s">
        <v>224</v>
      </c>
      <c r="AE27" s="1186" t="s">
        <v>236</v>
      </c>
      <c r="AF27" s="1186" t="s">
        <v>237</v>
      </c>
      <c r="AG27" s="1186" t="s">
        <v>238</v>
      </c>
      <c r="AH27"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7" s="1186" t="str">
        <f>IF($G$18=0,"",$G$18)</f>
        <v>Производство тепловой энергии. Некомбинированная выработка, Передача. Тепловая энергия, Сбыт. Тепловая энергия</v>
      </c>
      <c r="AJ27" s="1186" t="str">
        <f>IF($J$18=0,"",$J$18)</f>
        <v>Тариф на тепловую энергию (мощность), поставляемую потребителям</v>
      </c>
      <c r="AK27" s="1186" t="str">
        <f>IF($K$27="нет","без дифференциации",IF($N$27=0,"",$N$27))</f>
        <v>Территория 3</v>
      </c>
      <c r="AL27" s="1751" t="str">
        <f>IF($O$27="нет","без дифференциации",IF($R$27=0,"",$R$27))</f>
        <v>без дифференциации</v>
      </c>
      <c r="AM27" s="1751" t="str">
        <f>IF($S$27="нет","без дифференциации",IF($V$27=0,"",$V$27))</f>
        <v>без дифференциации</v>
      </c>
      <c r="AN27" s="1186">
        <f>$I$18</f>
        <v>1</v>
      </c>
      <c r="AO27" s="1186" t="str">
        <f>$I$18&amp;"."&amp;$M$27</f>
        <v>1.4</v>
      </c>
      <c r="AP27" s="1186" t="str">
        <f>$I$18&amp;"."&amp;$M$27&amp;"."&amp;$Q$27</f>
        <v>1.4.1</v>
      </c>
      <c r="AQ27" s="1186" t="str">
        <f>$I$18&amp;"."&amp;$M$27&amp;"."&amp;$Q$27&amp;"."&amp;$U$27</f>
        <v>1.4.1.1</v>
      </c>
      <c r="AR27" s="1869"/>
    </row>
    <row r="28" spans="1:44" ht="17.25" customHeight="1">
      <c r="A28" s="1747"/>
      <c r="B28" s="1869"/>
      <c r="C28" s="1752"/>
      <c r="D28" s="6669"/>
      <c r="E28" s="6670"/>
      <c r="F28" s="6648"/>
      <c r="G28" s="6661"/>
      <c r="H28" s="6669"/>
      <c r="I28" s="6669"/>
      <c r="J28" s="6687"/>
      <c r="K28" s="6691"/>
      <c r="L28" s="6611"/>
      <c r="M28" s="6611"/>
      <c r="N28" s="6683"/>
      <c r="O28" s="6689"/>
      <c r="P28" s="6611"/>
      <c r="Q28" s="6611"/>
      <c r="R28" s="6690" t="s">
        <v>24</v>
      </c>
      <c r="S28" s="6610"/>
      <c r="T28" s="241"/>
      <c r="U28" s="242"/>
      <c r="V28" s="242" t="s">
        <v>228</v>
      </c>
      <c r="W28" s="243"/>
      <c r="X28" s="1869"/>
      <c r="Y28" s="1179"/>
      <c r="Z28" s="1179"/>
      <c r="AA28" s="1179"/>
      <c r="AB28" s="1179"/>
      <c r="AC28" s="1179"/>
      <c r="AD28" s="1179"/>
      <c r="AE28" s="1179"/>
      <c r="AF28" s="1179"/>
      <c r="AG28" s="1179"/>
      <c r="AH28" s="1179"/>
      <c r="AI28" s="1179"/>
      <c r="AJ28" s="1179"/>
      <c r="AK28" s="1179"/>
      <c r="AL28" s="1869"/>
      <c r="AM28" s="1869"/>
      <c r="AN28" s="1869"/>
      <c r="AO28" s="1869"/>
      <c r="AP28" s="1869"/>
      <c r="AQ28" s="1869"/>
      <c r="AR28" s="1869"/>
    </row>
    <row r="29" spans="1:44" ht="17.25" customHeight="1">
      <c r="A29" s="1747"/>
      <c r="B29" s="1869"/>
      <c r="C29" s="1752"/>
      <c r="D29" s="6669"/>
      <c r="E29" s="6670"/>
      <c r="F29" s="6648"/>
      <c r="G29" s="6661"/>
      <c r="H29" s="6669"/>
      <c r="I29" s="6669"/>
      <c r="J29" s="6687"/>
      <c r="K29" s="6691"/>
      <c r="L29" s="6644"/>
      <c r="M29" s="6644"/>
      <c r="N29" s="6684"/>
      <c r="O29" s="6615"/>
      <c r="P29" s="241"/>
      <c r="Q29" s="242"/>
      <c r="R29" s="242" t="s">
        <v>229</v>
      </c>
      <c r="S29" s="1753"/>
      <c r="T29" s="1753"/>
      <c r="U29" s="1753"/>
      <c r="V29" s="1753"/>
      <c r="W29" s="243"/>
      <c r="X29" s="1869"/>
      <c r="Y29" s="1179"/>
      <c r="Z29" s="1179"/>
      <c r="AA29" s="1179"/>
      <c r="AB29" s="1179"/>
      <c r="AC29" s="1179"/>
      <c r="AD29" s="1179"/>
      <c r="AE29" s="1179"/>
      <c r="AF29" s="1179"/>
      <c r="AG29" s="1179"/>
      <c r="AH29" s="1179"/>
      <c r="AI29" s="1179"/>
      <c r="AJ29" s="1179"/>
      <c r="AK29" s="1179"/>
      <c r="AL29" s="1869"/>
      <c r="AM29" s="1869"/>
      <c r="AN29" s="1869"/>
      <c r="AO29" s="1869"/>
      <c r="AP29" s="1869"/>
      <c r="AQ29" s="1869"/>
      <c r="AR29" s="1869"/>
    </row>
    <row r="30" spans="1:44" ht="17.25" customHeight="1">
      <c r="A30" s="1747"/>
      <c r="B30" s="1869"/>
      <c r="C30" s="1749"/>
      <c r="D30" s="6669"/>
      <c r="E30" s="6670"/>
      <c r="F30" s="6648"/>
      <c r="G30" s="6661"/>
      <c r="H30" s="6669"/>
      <c r="I30" s="6669"/>
      <c r="J30" s="6687"/>
      <c r="K30" s="6691"/>
      <c r="L30" s="6611" t="s">
        <v>102</v>
      </c>
      <c r="M30" s="6611" t="s">
        <v>115</v>
      </c>
      <c r="N30" s="6683" t="str">
        <f>IF(Z30="","",INDEX(TERRITORY_MR_LIST,MATCH(Z30,TERRITORY_LIST_ID,0)))</f>
        <v>Территория 4</v>
      </c>
      <c r="O30" s="6688" t="s">
        <v>56</v>
      </c>
      <c r="P30" s="6611"/>
      <c r="Q30" s="6611" t="s">
        <v>178</v>
      </c>
      <c r="R30" s="6690" t="s">
        <v>24</v>
      </c>
      <c r="S30" s="6610" t="s">
        <v>56</v>
      </c>
      <c r="T30" s="1720"/>
      <c r="U30" s="1720" t="s">
        <v>178</v>
      </c>
      <c r="V30" s="1870" t="s">
        <v>24</v>
      </c>
      <c r="W30" s="1710"/>
      <c r="X30" s="1869"/>
      <c r="Y30" s="1186"/>
      <c r="Z30" s="1186" t="s">
        <v>111</v>
      </c>
      <c r="AA30" s="1186"/>
      <c r="AB30" s="1186"/>
      <c r="AC30" s="1871" t="s">
        <v>223</v>
      </c>
      <c r="AD30" s="1871" t="s">
        <v>224</v>
      </c>
      <c r="AE30" s="1186" t="s">
        <v>239</v>
      </c>
      <c r="AF30" s="1186" t="s">
        <v>240</v>
      </c>
      <c r="AG30" s="1186" t="s">
        <v>241</v>
      </c>
      <c r="AH30" s="1186" t="str">
        <f>IF($E$18=0,"",$E$18)</f>
        <v>Тарифы на тепловую энергию (мощность), поставляемую теплоснабжающими организациями потребителям, другим теплоснабжающим организациям</v>
      </c>
      <c r="AI30" s="1186" t="str">
        <f>IF($G$18=0,"",$G$18)</f>
        <v>Производство тепловой энергии. Некомбинированная выработка, Передача. Тепловая энергия, Сбыт. Тепловая энергия</v>
      </c>
      <c r="AJ30" s="1186" t="str">
        <f>IF($J$18=0,"",$J$18)</f>
        <v>Тариф на тепловую энергию (мощность), поставляемую потребителям</v>
      </c>
      <c r="AK30" s="1186" t="str">
        <f>IF($K$30="нет","без дифференциации",IF($N$30=0,"",$N$30))</f>
        <v>Территория 4</v>
      </c>
      <c r="AL30" s="1751" t="str">
        <f>IF($O$30="нет","без дифференциации",IF($R$30=0,"",$R$30))</f>
        <v>без дифференциации</v>
      </c>
      <c r="AM30" s="1751" t="str">
        <f>IF($S$30="нет","без дифференциации",IF($V$30=0,"",$V$30))</f>
        <v>без дифференциации</v>
      </c>
      <c r="AN30" s="1186">
        <f>$I$18</f>
        <v>1</v>
      </c>
      <c r="AO30" s="1186" t="str">
        <f>$I$18&amp;"."&amp;$M$30</f>
        <v>1.5</v>
      </c>
      <c r="AP30" s="1186" t="str">
        <f>$I$18&amp;"."&amp;$M$30&amp;"."&amp;$Q$30</f>
        <v>1.5.1</v>
      </c>
      <c r="AQ30" s="1186" t="str">
        <f>$I$18&amp;"."&amp;$M$30&amp;"."&amp;$Q$30&amp;"."&amp;$U$30</f>
        <v>1.5.1.1</v>
      </c>
      <c r="AR30" s="1869"/>
    </row>
    <row r="31" spans="1:44" ht="17.25" customHeight="1">
      <c r="A31" s="1747"/>
      <c r="B31" s="1869"/>
      <c r="C31" s="1752"/>
      <c r="D31" s="6669"/>
      <c r="E31" s="6670"/>
      <c r="F31" s="6648"/>
      <c r="G31" s="6661"/>
      <c r="H31" s="6669"/>
      <c r="I31" s="6669"/>
      <c r="J31" s="6687"/>
      <c r="K31" s="6691"/>
      <c r="L31" s="6611"/>
      <c r="M31" s="6611"/>
      <c r="N31" s="6683"/>
      <c r="O31" s="6689"/>
      <c r="P31" s="6611"/>
      <c r="Q31" s="6611"/>
      <c r="R31" s="6690" t="s">
        <v>24</v>
      </c>
      <c r="S31" s="6610"/>
      <c r="T31" s="241"/>
      <c r="U31" s="242"/>
      <c r="V31" s="242" t="s">
        <v>228</v>
      </c>
      <c r="W31" s="243"/>
      <c r="X31" s="1869"/>
      <c r="Y31" s="1179"/>
      <c r="Z31" s="1179"/>
      <c r="AA31" s="1179"/>
      <c r="AB31" s="1179"/>
      <c r="AC31" s="1179"/>
      <c r="AD31" s="1179"/>
      <c r="AE31" s="1179"/>
      <c r="AF31" s="1179"/>
      <c r="AG31" s="1179"/>
      <c r="AH31" s="1179"/>
      <c r="AI31" s="1179"/>
      <c r="AJ31" s="1179"/>
      <c r="AK31" s="1179"/>
      <c r="AL31" s="1869"/>
      <c r="AM31" s="1869"/>
      <c r="AN31" s="1869"/>
      <c r="AO31" s="1869"/>
      <c r="AP31" s="1869"/>
      <c r="AQ31" s="1869"/>
      <c r="AR31" s="1869"/>
    </row>
    <row r="32" spans="1:44" ht="17.25" customHeight="1">
      <c r="A32" s="1747"/>
      <c r="B32" s="1869"/>
      <c r="C32" s="1752"/>
      <c r="D32" s="6669"/>
      <c r="E32" s="6670"/>
      <c r="F32" s="6648"/>
      <c r="G32" s="6661"/>
      <c r="H32" s="6669"/>
      <c r="I32" s="6669"/>
      <c r="J32" s="6687"/>
      <c r="K32" s="6691"/>
      <c r="L32" s="6644"/>
      <c r="M32" s="6644"/>
      <c r="N32" s="6684"/>
      <c r="O32" s="6615"/>
      <c r="P32" s="241"/>
      <c r="Q32" s="242"/>
      <c r="R32" s="242" t="s">
        <v>229</v>
      </c>
      <c r="S32" s="1753"/>
      <c r="T32" s="1753"/>
      <c r="U32" s="1753"/>
      <c r="V32" s="1753"/>
      <c r="W32" s="243"/>
      <c r="X32" s="1869"/>
      <c r="Y32" s="1179"/>
      <c r="Z32" s="1179"/>
      <c r="AA32" s="1179"/>
      <c r="AB32" s="1179"/>
      <c r="AC32" s="1179"/>
      <c r="AD32" s="1179"/>
      <c r="AE32" s="1179"/>
      <c r="AF32" s="1179"/>
      <c r="AG32" s="1179"/>
      <c r="AH32" s="1179"/>
      <c r="AI32" s="1179"/>
      <c r="AJ32" s="1179"/>
      <c r="AK32" s="1179"/>
      <c r="AL32" s="1869"/>
      <c r="AM32" s="1869"/>
      <c r="AN32" s="1869"/>
      <c r="AO32" s="1869"/>
      <c r="AP32" s="1869"/>
      <c r="AQ32" s="1869"/>
      <c r="AR32" s="1869"/>
    </row>
    <row r="33" spans="1:44" ht="17.25" customHeight="1">
      <c r="A33" s="1747"/>
      <c r="B33" s="1869"/>
      <c r="C33" s="1749"/>
      <c r="D33" s="6669"/>
      <c r="E33" s="6670"/>
      <c r="F33" s="6648"/>
      <c r="G33" s="6661"/>
      <c r="H33" s="6669"/>
      <c r="I33" s="6669"/>
      <c r="J33" s="6687"/>
      <c r="K33" s="6691"/>
      <c r="L33" s="6611" t="s">
        <v>102</v>
      </c>
      <c r="M33" s="6611" t="s">
        <v>91</v>
      </c>
      <c r="N33" s="6683" t="str">
        <f>IF(Z33="","",INDEX(TERRITORY_MR_LIST,MATCH(Z33,TERRITORY_LIST_ID,0)))</f>
        <v>Территория 5</v>
      </c>
      <c r="O33" s="6688" t="s">
        <v>56</v>
      </c>
      <c r="P33" s="6611"/>
      <c r="Q33" s="6611" t="s">
        <v>178</v>
      </c>
      <c r="R33" s="6690" t="s">
        <v>24</v>
      </c>
      <c r="S33" s="6610" t="s">
        <v>56</v>
      </c>
      <c r="T33" s="1720"/>
      <c r="U33" s="1720" t="s">
        <v>178</v>
      </c>
      <c r="V33" s="1870" t="s">
        <v>24</v>
      </c>
      <c r="W33" s="1710"/>
      <c r="X33" s="1869"/>
      <c r="Y33" s="1186"/>
      <c r="Z33" s="1186" t="s">
        <v>116</v>
      </c>
      <c r="AA33" s="1186"/>
      <c r="AB33" s="1186"/>
      <c r="AC33" s="1871" t="s">
        <v>223</v>
      </c>
      <c r="AD33" s="1871" t="s">
        <v>224</v>
      </c>
      <c r="AE33" s="1186" t="s">
        <v>242</v>
      </c>
      <c r="AF33" s="1186" t="s">
        <v>243</v>
      </c>
      <c r="AG33" s="1186" t="s">
        <v>244</v>
      </c>
      <c r="AH33" s="1186" t="str">
        <f>IF($E$18=0,"",$E$18)</f>
        <v>Тарифы на тепловую энергию (мощность), поставляемую теплоснабжающими организациями потребителям, другим теплоснабжающим организациям</v>
      </c>
      <c r="AI33" s="1186" t="str">
        <f>IF($G$18=0,"",$G$18)</f>
        <v>Производство тепловой энергии. Некомбинированная выработка, Передача. Тепловая энергия, Сбыт. Тепловая энергия</v>
      </c>
      <c r="AJ33" s="1186" t="str">
        <f>IF($J$18=0,"",$J$18)</f>
        <v>Тариф на тепловую энергию (мощность), поставляемую потребителям</v>
      </c>
      <c r="AK33" s="1186" t="str">
        <f>IF($K$33="нет","без дифференциации",IF($N$33=0,"",$N$33))</f>
        <v>Территория 5</v>
      </c>
      <c r="AL33" s="1751" t="str">
        <f>IF($O$33="нет","без дифференциации",IF($R$33=0,"",$R$33))</f>
        <v>без дифференциации</v>
      </c>
      <c r="AM33" s="1751" t="str">
        <f>IF($S$33="нет","без дифференциации",IF($V$33=0,"",$V$33))</f>
        <v>без дифференциации</v>
      </c>
      <c r="AN33" s="1186">
        <f>$I$18</f>
        <v>1</v>
      </c>
      <c r="AO33" s="1186" t="str">
        <f>$I$18&amp;"."&amp;$M$33</f>
        <v>1.6</v>
      </c>
      <c r="AP33" s="1186" t="str">
        <f>$I$18&amp;"."&amp;$M$33&amp;"."&amp;$Q$33</f>
        <v>1.6.1</v>
      </c>
      <c r="AQ33" s="1186" t="str">
        <f>$I$18&amp;"."&amp;$M$33&amp;"."&amp;$Q$33&amp;"."&amp;$U$33</f>
        <v>1.6.1.1</v>
      </c>
      <c r="AR33" s="1869"/>
    </row>
    <row r="34" spans="1:44" ht="17.25" customHeight="1">
      <c r="A34" s="1747"/>
      <c r="B34" s="1869"/>
      <c r="C34" s="1752"/>
      <c r="D34" s="6669"/>
      <c r="E34" s="6670"/>
      <c r="F34" s="6648"/>
      <c r="G34" s="6661"/>
      <c r="H34" s="6669"/>
      <c r="I34" s="6669"/>
      <c r="J34" s="6687"/>
      <c r="K34" s="6691"/>
      <c r="L34" s="6611"/>
      <c r="M34" s="6611"/>
      <c r="N34" s="6683"/>
      <c r="O34" s="6689"/>
      <c r="P34" s="6611"/>
      <c r="Q34" s="6611"/>
      <c r="R34" s="6690" t="s">
        <v>24</v>
      </c>
      <c r="S34" s="6610"/>
      <c r="T34" s="241"/>
      <c r="U34" s="242"/>
      <c r="V34" s="242" t="s">
        <v>228</v>
      </c>
      <c r="W34" s="243"/>
      <c r="X34" s="1869"/>
      <c r="Y34" s="1179"/>
      <c r="Z34" s="1179"/>
      <c r="AA34" s="1179"/>
      <c r="AB34" s="1179"/>
      <c r="AC34" s="1179"/>
      <c r="AD34" s="1179"/>
      <c r="AE34" s="1179"/>
      <c r="AF34" s="1179"/>
      <c r="AG34" s="1179"/>
      <c r="AH34" s="1179"/>
      <c r="AI34" s="1179"/>
      <c r="AJ34" s="1179"/>
      <c r="AK34" s="1179"/>
      <c r="AL34" s="1869"/>
      <c r="AM34" s="1869"/>
      <c r="AN34" s="1869"/>
      <c r="AO34" s="1869"/>
      <c r="AP34" s="1869"/>
      <c r="AQ34" s="1869"/>
      <c r="AR34" s="1869"/>
    </row>
    <row r="35" spans="1:44" ht="17.25" customHeight="1">
      <c r="A35" s="1747"/>
      <c r="B35" s="1869"/>
      <c r="C35" s="1752"/>
      <c r="D35" s="6669"/>
      <c r="E35" s="6670"/>
      <c r="F35" s="6648"/>
      <c r="G35" s="6661"/>
      <c r="H35" s="6669"/>
      <c r="I35" s="6669"/>
      <c r="J35" s="6687"/>
      <c r="K35" s="6691"/>
      <c r="L35" s="6644"/>
      <c r="M35" s="6644"/>
      <c r="N35" s="6684"/>
      <c r="O35" s="6615"/>
      <c r="P35" s="241"/>
      <c r="Q35" s="242"/>
      <c r="R35" s="242" t="s">
        <v>229</v>
      </c>
      <c r="S35" s="1753"/>
      <c r="T35" s="1753"/>
      <c r="U35" s="1753"/>
      <c r="V35" s="1753"/>
      <c r="W35" s="243"/>
      <c r="X35" s="1869"/>
      <c r="Y35" s="1179"/>
      <c r="Z35" s="1179"/>
      <c r="AA35" s="1179"/>
      <c r="AB35" s="1179"/>
      <c r="AC35" s="1179"/>
      <c r="AD35" s="1179"/>
      <c r="AE35" s="1179"/>
      <c r="AF35" s="1179"/>
      <c r="AG35" s="1179"/>
      <c r="AH35" s="1179"/>
      <c r="AI35" s="1179"/>
      <c r="AJ35" s="1179"/>
      <c r="AK35" s="1179"/>
      <c r="AL35" s="1869"/>
      <c r="AM35" s="1869"/>
      <c r="AN35" s="1869"/>
      <c r="AO35" s="1869"/>
      <c r="AP35" s="1869"/>
      <c r="AQ35" s="1869"/>
      <c r="AR35" s="1869"/>
    </row>
    <row r="36" spans="1:44" ht="17.25" customHeight="1">
      <c r="A36" s="1747"/>
      <c r="B36" s="1869"/>
      <c r="C36" s="1749"/>
      <c r="D36" s="6669"/>
      <c r="E36" s="6670"/>
      <c r="F36" s="6648"/>
      <c r="G36" s="6661"/>
      <c r="H36" s="6669"/>
      <c r="I36" s="6669"/>
      <c r="J36" s="6687"/>
      <c r="K36" s="6691"/>
      <c r="L36" s="6611" t="s">
        <v>102</v>
      </c>
      <c r="M36" s="6611" t="s">
        <v>92</v>
      </c>
      <c r="N36" s="6683" t="str">
        <f>IF(Z36="","",INDEX(TERRITORY_MR_LIST,MATCH(Z36,TERRITORY_LIST_ID,0)))</f>
        <v>Территория 6</v>
      </c>
      <c r="O36" s="6688" t="s">
        <v>56</v>
      </c>
      <c r="P36" s="6611"/>
      <c r="Q36" s="6611" t="s">
        <v>178</v>
      </c>
      <c r="R36" s="6690" t="s">
        <v>24</v>
      </c>
      <c r="S36" s="6610" t="s">
        <v>56</v>
      </c>
      <c r="T36" s="1720"/>
      <c r="U36" s="1720" t="s">
        <v>178</v>
      </c>
      <c r="V36" s="1870" t="s">
        <v>24</v>
      </c>
      <c r="W36" s="1710"/>
      <c r="X36" s="1869"/>
      <c r="Y36" s="1186"/>
      <c r="Z36" s="1186" t="s">
        <v>120</v>
      </c>
      <c r="AA36" s="1186"/>
      <c r="AB36" s="1186"/>
      <c r="AC36" s="1871" t="s">
        <v>223</v>
      </c>
      <c r="AD36" s="1871" t="s">
        <v>224</v>
      </c>
      <c r="AE36" s="1186" t="s">
        <v>245</v>
      </c>
      <c r="AF36" s="1186" t="s">
        <v>246</v>
      </c>
      <c r="AG36" s="1186" t="s">
        <v>247</v>
      </c>
      <c r="AH36" s="1186" t="str">
        <f>IF($E$18=0,"",$E$18)</f>
        <v>Тарифы на тепловую энергию (мощность), поставляемую теплоснабжающими организациями потребителям, другим теплоснабжающим организациям</v>
      </c>
      <c r="AI36" s="1186" t="str">
        <f>IF($G$18=0,"",$G$18)</f>
        <v>Производство тепловой энергии. Некомбинированная выработка, Передача. Тепловая энергия, Сбыт. Тепловая энергия</v>
      </c>
      <c r="AJ36" s="1186" t="str">
        <f>IF($J$18=0,"",$J$18)</f>
        <v>Тариф на тепловую энергию (мощность), поставляемую потребителям</v>
      </c>
      <c r="AK36" s="1186" t="str">
        <f>IF($K$36="нет","без дифференциации",IF($N$36=0,"",$N$36))</f>
        <v>Территория 6</v>
      </c>
      <c r="AL36" s="1751" t="str">
        <f>IF($O$36="нет","без дифференциации",IF($R$36=0,"",$R$36))</f>
        <v>без дифференциации</v>
      </c>
      <c r="AM36" s="1751" t="str">
        <f>IF($S$36="нет","без дифференциации",IF($V$36=0,"",$V$36))</f>
        <v>без дифференциации</v>
      </c>
      <c r="AN36" s="1186">
        <f>$I$18</f>
        <v>1</v>
      </c>
      <c r="AO36" s="1186" t="str">
        <f>$I$18&amp;"."&amp;$M$36</f>
        <v>1.7</v>
      </c>
      <c r="AP36" s="1186" t="str">
        <f>$I$18&amp;"."&amp;$M$36&amp;"."&amp;$Q$36</f>
        <v>1.7.1</v>
      </c>
      <c r="AQ36" s="1186" t="str">
        <f>$I$18&amp;"."&amp;$M$36&amp;"."&amp;$Q$36&amp;"."&amp;$U$36</f>
        <v>1.7.1.1</v>
      </c>
      <c r="AR36" s="1869"/>
    </row>
    <row r="37" spans="1:44" ht="17.25" customHeight="1">
      <c r="A37" s="1747"/>
      <c r="B37" s="1869"/>
      <c r="C37" s="1752"/>
      <c r="D37" s="6669"/>
      <c r="E37" s="6670"/>
      <c r="F37" s="6648"/>
      <c r="G37" s="6661"/>
      <c r="H37" s="6669"/>
      <c r="I37" s="6669"/>
      <c r="J37" s="6687"/>
      <c r="K37" s="6691"/>
      <c r="L37" s="6611"/>
      <c r="M37" s="6611"/>
      <c r="N37" s="6683"/>
      <c r="O37" s="6689"/>
      <c r="P37" s="6611"/>
      <c r="Q37" s="6611"/>
      <c r="R37" s="6690" t="s">
        <v>24</v>
      </c>
      <c r="S37" s="6610"/>
      <c r="T37" s="241"/>
      <c r="U37" s="242"/>
      <c r="V37" s="242" t="s">
        <v>228</v>
      </c>
      <c r="W37" s="243"/>
      <c r="X37" s="1869"/>
      <c r="Y37" s="1179"/>
      <c r="Z37" s="1179"/>
      <c r="AA37" s="1179"/>
      <c r="AB37" s="1179"/>
      <c r="AC37" s="1179"/>
      <c r="AD37" s="1179"/>
      <c r="AE37" s="1179"/>
      <c r="AF37" s="1179"/>
      <c r="AG37" s="1179"/>
      <c r="AH37" s="1179"/>
      <c r="AI37" s="1179"/>
      <c r="AJ37" s="1179"/>
      <c r="AK37" s="1179"/>
      <c r="AL37" s="1869"/>
      <c r="AM37" s="1869"/>
      <c r="AN37" s="1869"/>
      <c r="AO37" s="1869"/>
      <c r="AP37" s="1869"/>
      <c r="AQ37" s="1869"/>
      <c r="AR37" s="1869"/>
    </row>
    <row r="38" spans="1:44" ht="17.25" customHeight="1">
      <c r="A38" s="1747"/>
      <c r="B38" s="1869"/>
      <c r="C38" s="1752"/>
      <c r="D38" s="6669"/>
      <c r="E38" s="6670"/>
      <c r="F38" s="6648"/>
      <c r="G38" s="6661"/>
      <c r="H38" s="6669"/>
      <c r="I38" s="6669"/>
      <c r="J38" s="6687"/>
      <c r="K38" s="6691"/>
      <c r="L38" s="6644"/>
      <c r="M38" s="6644"/>
      <c r="N38" s="6684"/>
      <c r="O38" s="6615"/>
      <c r="P38" s="241"/>
      <c r="Q38" s="242"/>
      <c r="R38" s="242" t="s">
        <v>229</v>
      </c>
      <c r="S38" s="1753"/>
      <c r="T38" s="1753"/>
      <c r="U38" s="1753"/>
      <c r="V38" s="1753"/>
      <c r="W38" s="243"/>
      <c r="X38" s="1869"/>
      <c r="Y38" s="1179"/>
      <c r="Z38" s="1179"/>
      <c r="AA38" s="1179"/>
      <c r="AB38" s="1179"/>
      <c r="AC38" s="1179"/>
      <c r="AD38" s="1179"/>
      <c r="AE38" s="1179"/>
      <c r="AF38" s="1179"/>
      <c r="AG38" s="1179"/>
      <c r="AH38" s="1179"/>
      <c r="AI38" s="1179"/>
      <c r="AJ38" s="1179"/>
      <c r="AK38" s="1179"/>
      <c r="AL38" s="1869"/>
      <c r="AM38" s="1869"/>
      <c r="AN38" s="1869"/>
      <c r="AO38" s="1869"/>
      <c r="AP38" s="1869"/>
      <c r="AQ38" s="1869"/>
      <c r="AR38" s="1869"/>
    </row>
    <row r="39" spans="1:44" ht="17.25" customHeight="1">
      <c r="A39" s="1747"/>
      <c r="B39" s="1869"/>
      <c r="C39" s="1749"/>
      <c r="D39" s="6669"/>
      <c r="E39" s="6670"/>
      <c r="F39" s="6648"/>
      <c r="G39" s="6661"/>
      <c r="H39" s="6669"/>
      <c r="I39" s="6669"/>
      <c r="J39" s="6687"/>
      <c r="K39" s="6691"/>
      <c r="L39" s="6611" t="s">
        <v>102</v>
      </c>
      <c r="M39" s="6611" t="s">
        <v>128</v>
      </c>
      <c r="N39" s="6683" t="str">
        <f>IF(Z39="","",INDEX(TERRITORY_MR_LIST,MATCH(Z39,TERRITORY_LIST_ID,0)))</f>
        <v>Территория 7</v>
      </c>
      <c r="O39" s="6688" t="s">
        <v>56</v>
      </c>
      <c r="P39" s="6611"/>
      <c r="Q39" s="6611" t="s">
        <v>178</v>
      </c>
      <c r="R39" s="6690" t="s">
        <v>24</v>
      </c>
      <c r="S39" s="6610" t="s">
        <v>56</v>
      </c>
      <c r="T39" s="1720"/>
      <c r="U39" s="1720" t="s">
        <v>178</v>
      </c>
      <c r="V39" s="1870" t="s">
        <v>24</v>
      </c>
      <c r="W39" s="1710"/>
      <c r="X39" s="1869"/>
      <c r="Y39" s="1186"/>
      <c r="Z39" s="1186" t="s">
        <v>124</v>
      </c>
      <c r="AA39" s="1186"/>
      <c r="AB39" s="1186"/>
      <c r="AC39" s="1871" t="s">
        <v>223</v>
      </c>
      <c r="AD39" s="1871" t="s">
        <v>224</v>
      </c>
      <c r="AE39" s="1186" t="s">
        <v>248</v>
      </c>
      <c r="AF39" s="1186" t="s">
        <v>249</v>
      </c>
      <c r="AG39" s="1186" t="s">
        <v>250</v>
      </c>
      <c r="AH39" s="1186" t="str">
        <f>IF($E$18=0,"",$E$18)</f>
        <v>Тарифы на тепловую энергию (мощность), поставляемую теплоснабжающими организациями потребителям, другим теплоснабжающим организациям</v>
      </c>
      <c r="AI39" s="1186" t="str">
        <f>IF($G$18=0,"",$G$18)</f>
        <v>Производство тепловой энергии. Некомбинированная выработка, Передача. Тепловая энергия, Сбыт. Тепловая энергия</v>
      </c>
      <c r="AJ39" s="1186" t="str">
        <f>IF($J$18=0,"",$J$18)</f>
        <v>Тариф на тепловую энергию (мощность), поставляемую потребителям</v>
      </c>
      <c r="AK39" s="1186" t="str">
        <f>IF($K$39="нет","без дифференциации",IF($N$39=0,"",$N$39))</f>
        <v>Территория 7</v>
      </c>
      <c r="AL39" s="1751" t="str">
        <f>IF($O$39="нет","без дифференциации",IF($R$39=0,"",$R$39))</f>
        <v>без дифференциации</v>
      </c>
      <c r="AM39" s="1751" t="str">
        <f>IF($S$39="нет","без дифференциации",IF($V$39=0,"",$V$39))</f>
        <v>без дифференциации</v>
      </c>
      <c r="AN39" s="1186">
        <f>$I$18</f>
        <v>1</v>
      </c>
      <c r="AO39" s="1186" t="str">
        <f>$I$18&amp;"."&amp;$M$39</f>
        <v>1.8</v>
      </c>
      <c r="AP39" s="1186" t="str">
        <f>$I$18&amp;"."&amp;$M$39&amp;"."&amp;$Q$39</f>
        <v>1.8.1</v>
      </c>
      <c r="AQ39" s="1186" t="str">
        <f>$I$18&amp;"."&amp;$M$39&amp;"."&amp;$Q$39&amp;"."&amp;$U$39</f>
        <v>1.8.1.1</v>
      </c>
      <c r="AR39" s="1869"/>
    </row>
    <row r="40" spans="1:44" ht="17.25" customHeight="1">
      <c r="A40" s="1747"/>
      <c r="B40" s="1869"/>
      <c r="C40" s="1752"/>
      <c r="D40" s="6669"/>
      <c r="E40" s="6670"/>
      <c r="F40" s="6648"/>
      <c r="G40" s="6661"/>
      <c r="H40" s="6669"/>
      <c r="I40" s="6669"/>
      <c r="J40" s="6687"/>
      <c r="K40" s="6691"/>
      <c r="L40" s="6611"/>
      <c r="M40" s="6611"/>
      <c r="N40" s="6683"/>
      <c r="O40" s="6689"/>
      <c r="P40" s="6611"/>
      <c r="Q40" s="6611"/>
      <c r="R40" s="6690" t="s">
        <v>24</v>
      </c>
      <c r="S40" s="6610"/>
      <c r="T40" s="241"/>
      <c r="U40" s="242"/>
      <c r="V40" s="242" t="s">
        <v>228</v>
      </c>
      <c r="W40" s="243"/>
      <c r="X40" s="1869"/>
      <c r="Y40" s="1179"/>
      <c r="Z40" s="1179"/>
      <c r="AA40" s="1179"/>
      <c r="AB40" s="1179"/>
      <c r="AC40" s="1179"/>
      <c r="AD40" s="1179"/>
      <c r="AE40" s="1179"/>
      <c r="AF40" s="1179"/>
      <c r="AG40" s="1179"/>
      <c r="AH40" s="1179"/>
      <c r="AI40" s="1179"/>
      <c r="AJ40" s="1179"/>
      <c r="AK40" s="1179"/>
      <c r="AL40" s="1869"/>
      <c r="AM40" s="1869"/>
      <c r="AN40" s="1869"/>
      <c r="AO40" s="1869"/>
      <c r="AP40" s="1869"/>
      <c r="AQ40" s="1869"/>
      <c r="AR40" s="1869"/>
    </row>
    <row r="41" spans="1:44" ht="17.25" customHeight="1">
      <c r="A41" s="1747"/>
      <c r="B41" s="1869"/>
      <c r="C41" s="1752"/>
      <c r="D41" s="6669"/>
      <c r="E41" s="6670"/>
      <c r="F41" s="6648"/>
      <c r="G41" s="6661"/>
      <c r="H41" s="6669"/>
      <c r="I41" s="6669"/>
      <c r="J41" s="6687"/>
      <c r="K41" s="6691"/>
      <c r="L41" s="6644"/>
      <c r="M41" s="6644"/>
      <c r="N41" s="6684"/>
      <c r="O41" s="6615"/>
      <c r="P41" s="241"/>
      <c r="Q41" s="242"/>
      <c r="R41" s="242" t="s">
        <v>229</v>
      </c>
      <c r="S41" s="1753"/>
      <c r="T41" s="1753"/>
      <c r="U41" s="1753"/>
      <c r="V41" s="1753"/>
      <c r="W41" s="243"/>
      <c r="X41" s="1869"/>
      <c r="Y41" s="1179"/>
      <c r="Z41" s="1179"/>
      <c r="AA41" s="1179"/>
      <c r="AB41" s="1179"/>
      <c r="AC41" s="1179"/>
      <c r="AD41" s="1179"/>
      <c r="AE41" s="1179"/>
      <c r="AF41" s="1179"/>
      <c r="AG41" s="1179"/>
      <c r="AH41" s="1179"/>
      <c r="AI41" s="1179"/>
      <c r="AJ41" s="1179"/>
      <c r="AK41" s="1179"/>
      <c r="AL41" s="1869"/>
      <c r="AM41" s="1869"/>
      <c r="AN41" s="1869"/>
      <c r="AO41" s="1869"/>
      <c r="AP41" s="1869"/>
      <c r="AQ41" s="1869"/>
      <c r="AR41" s="1869"/>
    </row>
    <row r="42" spans="1:44" ht="17.25" customHeight="1">
      <c r="A42" s="1747"/>
      <c r="B42" s="1869"/>
      <c r="C42" s="1749"/>
      <c r="D42" s="6669"/>
      <c r="E42" s="6670"/>
      <c r="F42" s="6648"/>
      <c r="G42" s="6661"/>
      <c r="H42" s="6669"/>
      <c r="I42" s="6669"/>
      <c r="J42" s="6687"/>
      <c r="K42" s="6691"/>
      <c r="L42" s="6611" t="s">
        <v>102</v>
      </c>
      <c r="M42" s="6611" t="s">
        <v>133</v>
      </c>
      <c r="N42" s="6683" t="str">
        <f>IF(Z42="","",INDEX(TERRITORY_MR_LIST,MATCH(Z42,TERRITORY_LIST_ID,0)))</f>
        <v>Территория 8</v>
      </c>
      <c r="O42" s="6688" t="s">
        <v>56</v>
      </c>
      <c r="P42" s="6611"/>
      <c r="Q42" s="6611" t="s">
        <v>178</v>
      </c>
      <c r="R42" s="6690" t="s">
        <v>24</v>
      </c>
      <c r="S42" s="6610" t="s">
        <v>56</v>
      </c>
      <c r="T42" s="1720"/>
      <c r="U42" s="1720" t="s">
        <v>178</v>
      </c>
      <c r="V42" s="1870" t="s">
        <v>24</v>
      </c>
      <c r="W42" s="1710"/>
      <c r="X42" s="1869"/>
      <c r="Y42" s="1186"/>
      <c r="Z42" s="1186" t="s">
        <v>129</v>
      </c>
      <c r="AA42" s="1186"/>
      <c r="AB42" s="1186"/>
      <c r="AC42" s="1871" t="s">
        <v>223</v>
      </c>
      <c r="AD42" s="1871" t="s">
        <v>224</v>
      </c>
      <c r="AE42" s="1186" t="s">
        <v>251</v>
      </c>
      <c r="AF42" s="1186" t="s">
        <v>252</v>
      </c>
      <c r="AG42" s="1186" t="s">
        <v>253</v>
      </c>
      <c r="AH42" s="1186" t="str">
        <f>IF($E$18=0,"",$E$18)</f>
        <v>Тарифы на тепловую энергию (мощность), поставляемую теплоснабжающими организациями потребителям, другим теплоснабжающим организациям</v>
      </c>
      <c r="AI42" s="1186" t="str">
        <f>IF($G$18=0,"",$G$18)</f>
        <v>Производство тепловой энергии. Некомбинированная выработка, Передача. Тепловая энергия, Сбыт. Тепловая энергия</v>
      </c>
      <c r="AJ42" s="1186" t="str">
        <f>IF($J$18=0,"",$J$18)</f>
        <v>Тариф на тепловую энергию (мощность), поставляемую потребителям</v>
      </c>
      <c r="AK42" s="1186" t="str">
        <f>IF($K$42="нет","без дифференциации",IF($N$42=0,"",$N$42))</f>
        <v>Территория 8</v>
      </c>
      <c r="AL42" s="1751" t="str">
        <f>IF($O$42="нет","без дифференциации",IF($R$42=0,"",$R$42))</f>
        <v>без дифференциации</v>
      </c>
      <c r="AM42" s="1751" t="str">
        <f>IF($S$42="нет","без дифференциации",IF($V$42=0,"",$V$42))</f>
        <v>без дифференциации</v>
      </c>
      <c r="AN42" s="1186">
        <f>$I$18</f>
        <v>1</v>
      </c>
      <c r="AO42" s="1186" t="str">
        <f>$I$18&amp;"."&amp;$M$42</f>
        <v>1.9</v>
      </c>
      <c r="AP42" s="1186" t="str">
        <f>$I$18&amp;"."&amp;$M$42&amp;"."&amp;$Q$42</f>
        <v>1.9.1</v>
      </c>
      <c r="AQ42" s="1186" t="str">
        <f>$I$18&amp;"."&amp;$M$42&amp;"."&amp;$Q$42&amp;"."&amp;$U$42</f>
        <v>1.9.1.1</v>
      </c>
      <c r="AR42" s="1869"/>
    </row>
    <row r="43" spans="1:44" ht="17.25" customHeight="1">
      <c r="A43" s="1747"/>
      <c r="B43" s="1869"/>
      <c r="C43" s="1752"/>
      <c r="D43" s="6669"/>
      <c r="E43" s="6670"/>
      <c r="F43" s="6648"/>
      <c r="G43" s="6661"/>
      <c r="H43" s="6669"/>
      <c r="I43" s="6669"/>
      <c r="J43" s="6687"/>
      <c r="K43" s="6691"/>
      <c r="L43" s="6611"/>
      <c r="M43" s="6611"/>
      <c r="N43" s="6683"/>
      <c r="O43" s="6689"/>
      <c r="P43" s="6611"/>
      <c r="Q43" s="6611"/>
      <c r="R43" s="6690" t="s">
        <v>24</v>
      </c>
      <c r="S43" s="6610"/>
      <c r="T43" s="241"/>
      <c r="U43" s="242"/>
      <c r="V43" s="242" t="s">
        <v>228</v>
      </c>
      <c r="W43" s="243"/>
      <c r="X43" s="1869"/>
      <c r="Y43" s="1179"/>
      <c r="Z43" s="1179"/>
      <c r="AA43" s="1179"/>
      <c r="AB43" s="1179"/>
      <c r="AC43" s="1179"/>
      <c r="AD43" s="1179"/>
      <c r="AE43" s="1179"/>
      <c r="AF43" s="1179"/>
      <c r="AG43" s="1179"/>
      <c r="AH43" s="1179"/>
      <c r="AI43" s="1179"/>
      <c r="AJ43" s="1179"/>
      <c r="AK43" s="1179"/>
      <c r="AL43" s="1869"/>
      <c r="AM43" s="1869"/>
      <c r="AN43" s="1869"/>
      <c r="AO43" s="1869"/>
      <c r="AP43" s="1869"/>
      <c r="AQ43" s="1869"/>
      <c r="AR43" s="1869"/>
    </row>
    <row r="44" spans="1:44" ht="17.25" customHeight="1">
      <c r="A44" s="1747"/>
      <c r="B44" s="1869"/>
      <c r="C44" s="1752"/>
      <c r="D44" s="6669"/>
      <c r="E44" s="6670"/>
      <c r="F44" s="6648"/>
      <c r="G44" s="6661"/>
      <c r="H44" s="6669"/>
      <c r="I44" s="6669"/>
      <c r="J44" s="6687"/>
      <c r="K44" s="6691"/>
      <c r="L44" s="6644"/>
      <c r="M44" s="6644"/>
      <c r="N44" s="6684"/>
      <c r="O44" s="6615"/>
      <c r="P44" s="241"/>
      <c r="Q44" s="242"/>
      <c r="R44" s="242" t="s">
        <v>229</v>
      </c>
      <c r="S44" s="1753"/>
      <c r="T44" s="1753"/>
      <c r="U44" s="1753"/>
      <c r="V44" s="1753"/>
      <c r="W44" s="243"/>
      <c r="X44" s="1869"/>
      <c r="Y44" s="1179"/>
      <c r="Z44" s="1179"/>
      <c r="AA44" s="1179"/>
      <c r="AB44" s="1179"/>
      <c r="AC44" s="1179"/>
      <c r="AD44" s="1179"/>
      <c r="AE44" s="1179"/>
      <c r="AF44" s="1179"/>
      <c r="AG44" s="1179"/>
      <c r="AH44" s="1179"/>
      <c r="AI44" s="1179"/>
      <c r="AJ44" s="1179"/>
      <c r="AK44" s="1179"/>
      <c r="AL44" s="1869"/>
      <c r="AM44" s="1869"/>
      <c r="AN44" s="1869"/>
      <c r="AO44" s="1869"/>
      <c r="AP44" s="1869"/>
      <c r="AQ44" s="1869"/>
      <c r="AR44" s="1869"/>
    </row>
    <row r="45" spans="1:44" ht="17.25" customHeight="1">
      <c r="A45" s="1747"/>
      <c r="B45" s="1869"/>
      <c r="C45" s="1749"/>
      <c r="D45" s="6669"/>
      <c r="E45" s="6670"/>
      <c r="F45" s="6648"/>
      <c r="G45" s="6661"/>
      <c r="H45" s="6669"/>
      <c r="I45" s="6669"/>
      <c r="J45" s="6687"/>
      <c r="K45" s="6691"/>
      <c r="L45" s="6611" t="s">
        <v>102</v>
      </c>
      <c r="M45" s="6611" t="s">
        <v>138</v>
      </c>
      <c r="N45" s="6683" t="str">
        <f>IF(Z45="","",INDEX(TERRITORY_MR_LIST,MATCH(Z45,TERRITORY_LIST_ID,0)))</f>
        <v>Территория 9</v>
      </c>
      <c r="O45" s="6688" t="s">
        <v>56</v>
      </c>
      <c r="P45" s="6611"/>
      <c r="Q45" s="6611" t="s">
        <v>178</v>
      </c>
      <c r="R45" s="6690" t="s">
        <v>24</v>
      </c>
      <c r="S45" s="6610" t="s">
        <v>56</v>
      </c>
      <c r="T45" s="1720"/>
      <c r="U45" s="1720" t="s">
        <v>178</v>
      </c>
      <c r="V45" s="1870" t="s">
        <v>24</v>
      </c>
      <c r="W45" s="1710"/>
      <c r="X45" s="1869"/>
      <c r="Y45" s="1186"/>
      <c r="Z45" s="1186" t="s">
        <v>134</v>
      </c>
      <c r="AA45" s="1186"/>
      <c r="AB45" s="1186"/>
      <c r="AC45" s="1871" t="s">
        <v>223</v>
      </c>
      <c r="AD45" s="1871" t="s">
        <v>224</v>
      </c>
      <c r="AE45" s="1186" t="s">
        <v>254</v>
      </c>
      <c r="AF45" s="1186" t="s">
        <v>255</v>
      </c>
      <c r="AG45" s="1186" t="s">
        <v>256</v>
      </c>
      <c r="AH45" s="1186" t="str">
        <f>IF($E$18=0,"",$E$18)</f>
        <v>Тарифы на тепловую энергию (мощность), поставляемую теплоснабжающими организациями потребителям, другим теплоснабжающим организациям</v>
      </c>
      <c r="AI45" s="1186" t="str">
        <f>IF($G$18=0,"",$G$18)</f>
        <v>Производство тепловой энергии. Некомбинированная выработка, Передача. Тепловая энергия, Сбыт. Тепловая энергия</v>
      </c>
      <c r="AJ45" s="1186" t="str">
        <f>IF($J$18=0,"",$J$18)</f>
        <v>Тариф на тепловую энергию (мощность), поставляемую потребителям</v>
      </c>
      <c r="AK45" s="1186" t="str">
        <f>IF($K$45="нет","без дифференциации",IF($N$45=0,"",$N$45))</f>
        <v>Территория 9</v>
      </c>
      <c r="AL45" s="1751" t="str">
        <f>IF($O$45="нет","без дифференциации",IF($R$45=0,"",$R$45))</f>
        <v>без дифференциации</v>
      </c>
      <c r="AM45" s="1751" t="str">
        <f>IF($S$45="нет","без дифференциации",IF($V$45=0,"",$V$45))</f>
        <v>без дифференциации</v>
      </c>
      <c r="AN45" s="1186">
        <f>$I$18</f>
        <v>1</v>
      </c>
      <c r="AO45" s="1186" t="str">
        <f>$I$18&amp;"."&amp;$M$45</f>
        <v>1.10</v>
      </c>
      <c r="AP45" s="1186" t="str">
        <f>$I$18&amp;"."&amp;$M$45&amp;"."&amp;$Q$45</f>
        <v>1.10.1</v>
      </c>
      <c r="AQ45" s="1186" t="str">
        <f>$I$18&amp;"."&amp;$M$45&amp;"."&amp;$Q$45&amp;"."&amp;$U$45</f>
        <v>1.10.1.1</v>
      </c>
      <c r="AR45" s="1869"/>
    </row>
    <row r="46" spans="1:44" ht="17.25" customHeight="1">
      <c r="A46" s="1747"/>
      <c r="B46" s="1869"/>
      <c r="C46" s="1752"/>
      <c r="D46" s="6669"/>
      <c r="E46" s="6670"/>
      <c r="F46" s="6648"/>
      <c r="G46" s="6661"/>
      <c r="H46" s="6669"/>
      <c r="I46" s="6669"/>
      <c r="J46" s="6687"/>
      <c r="K46" s="6691"/>
      <c r="L46" s="6611"/>
      <c r="M46" s="6611"/>
      <c r="N46" s="6683"/>
      <c r="O46" s="6689"/>
      <c r="P46" s="6611"/>
      <c r="Q46" s="6611"/>
      <c r="R46" s="6690" t="s">
        <v>24</v>
      </c>
      <c r="S46" s="6610"/>
      <c r="T46" s="241"/>
      <c r="U46" s="242"/>
      <c r="V46" s="242" t="s">
        <v>228</v>
      </c>
      <c r="W46" s="243"/>
      <c r="X46" s="1869"/>
      <c r="Y46" s="1179"/>
      <c r="Z46" s="1179"/>
      <c r="AA46" s="1179"/>
      <c r="AB46" s="1179"/>
      <c r="AC46" s="1179"/>
      <c r="AD46" s="1179"/>
      <c r="AE46" s="1179"/>
      <c r="AF46" s="1179"/>
      <c r="AG46" s="1179"/>
      <c r="AH46" s="1179"/>
      <c r="AI46" s="1179"/>
      <c r="AJ46" s="1179"/>
      <c r="AK46" s="1179"/>
      <c r="AL46" s="1869"/>
      <c r="AM46" s="1869"/>
      <c r="AN46" s="1869"/>
      <c r="AO46" s="1869"/>
      <c r="AP46" s="1869"/>
      <c r="AQ46" s="1869"/>
      <c r="AR46" s="1869"/>
    </row>
    <row r="47" spans="1:44" ht="17.25" customHeight="1">
      <c r="A47" s="1747"/>
      <c r="B47" s="1869"/>
      <c r="C47" s="1752"/>
      <c r="D47" s="6669"/>
      <c r="E47" s="6670"/>
      <c r="F47" s="6648"/>
      <c r="G47" s="6661"/>
      <c r="H47" s="6669"/>
      <c r="I47" s="6669"/>
      <c r="J47" s="6687"/>
      <c r="K47" s="6691"/>
      <c r="L47" s="6644"/>
      <c r="M47" s="6644"/>
      <c r="N47" s="6684"/>
      <c r="O47" s="6615"/>
      <c r="P47" s="241"/>
      <c r="Q47" s="242"/>
      <c r="R47" s="242" t="s">
        <v>229</v>
      </c>
      <c r="S47" s="1753"/>
      <c r="T47" s="1753"/>
      <c r="U47" s="1753"/>
      <c r="V47" s="1753"/>
      <c r="W47" s="243"/>
      <c r="X47" s="1869"/>
      <c r="Y47" s="1179"/>
      <c r="Z47" s="1179"/>
      <c r="AA47" s="1179"/>
      <c r="AB47" s="1179"/>
      <c r="AC47" s="1179"/>
      <c r="AD47" s="1179"/>
      <c r="AE47" s="1179"/>
      <c r="AF47" s="1179"/>
      <c r="AG47" s="1179"/>
      <c r="AH47" s="1179"/>
      <c r="AI47" s="1179"/>
      <c r="AJ47" s="1179"/>
      <c r="AK47" s="1179"/>
      <c r="AL47" s="1869"/>
      <c r="AM47" s="1869"/>
      <c r="AN47" s="1869"/>
      <c r="AO47" s="1869"/>
      <c r="AP47" s="1869"/>
      <c r="AQ47" s="1869"/>
      <c r="AR47" s="1869"/>
    </row>
    <row r="48" spans="1:44" ht="17.25" customHeight="1">
      <c r="A48" s="1747"/>
      <c r="B48" s="1869"/>
      <c r="C48" s="1749"/>
      <c r="D48" s="6669"/>
      <c r="E48" s="6670"/>
      <c r="F48" s="6648"/>
      <c r="G48" s="6661"/>
      <c r="H48" s="6669"/>
      <c r="I48" s="6669"/>
      <c r="J48" s="6687"/>
      <c r="K48" s="6691"/>
      <c r="L48" s="6611" t="s">
        <v>102</v>
      </c>
      <c r="M48" s="6611" t="s">
        <v>104</v>
      </c>
      <c r="N48" s="6683" t="str">
        <f>IF(Z48="","",INDEX(TERRITORY_MR_LIST,MATCH(Z48,TERRITORY_LIST_ID,0)))</f>
        <v>Территория 10</v>
      </c>
      <c r="O48" s="6688" t="s">
        <v>56</v>
      </c>
      <c r="P48" s="6611"/>
      <c r="Q48" s="6611" t="s">
        <v>178</v>
      </c>
      <c r="R48" s="6690" t="s">
        <v>24</v>
      </c>
      <c r="S48" s="6610" t="s">
        <v>56</v>
      </c>
      <c r="T48" s="1720"/>
      <c r="U48" s="1720" t="s">
        <v>178</v>
      </c>
      <c r="V48" s="1870" t="s">
        <v>24</v>
      </c>
      <c r="W48" s="1710"/>
      <c r="X48" s="1869"/>
      <c r="Y48" s="1186"/>
      <c r="Z48" s="1186" t="s">
        <v>139</v>
      </c>
      <c r="AA48" s="1186"/>
      <c r="AB48" s="1186"/>
      <c r="AC48" s="1871" t="s">
        <v>223</v>
      </c>
      <c r="AD48" s="1871" t="s">
        <v>224</v>
      </c>
      <c r="AE48" s="1186" t="s">
        <v>257</v>
      </c>
      <c r="AF48" s="1186" t="s">
        <v>258</v>
      </c>
      <c r="AG48" s="1186" t="s">
        <v>259</v>
      </c>
      <c r="AH4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48" s="1186" t="str">
        <f>IF($G$18=0,"",$G$18)</f>
        <v>Производство тепловой энергии. Некомбинированная выработка, Передача. Тепловая энергия, Сбыт. Тепловая энергия</v>
      </c>
      <c r="AJ48" s="1186" t="str">
        <f>IF($J$18=0,"",$J$18)</f>
        <v>Тариф на тепловую энергию (мощность), поставляемую потребителям</v>
      </c>
      <c r="AK48" s="1186" t="str">
        <f>IF($K$48="нет","без дифференциации",IF($N$48=0,"",$N$48))</f>
        <v>Территория 10</v>
      </c>
      <c r="AL48" s="1751" t="str">
        <f>IF($O$48="нет","без дифференциации",IF($R$48=0,"",$R$48))</f>
        <v>без дифференциации</v>
      </c>
      <c r="AM48" s="1751" t="str">
        <f>IF($S$48="нет","без дифференциации",IF($V$48=0,"",$V$48))</f>
        <v>без дифференциации</v>
      </c>
      <c r="AN48" s="1186">
        <f>$I$18</f>
        <v>1</v>
      </c>
      <c r="AO48" s="1186" t="str">
        <f>$I$18&amp;"."&amp;$M$48</f>
        <v>1.11</v>
      </c>
      <c r="AP48" s="1186" t="str">
        <f>$I$18&amp;"."&amp;$M$48&amp;"."&amp;$Q$48</f>
        <v>1.11.1</v>
      </c>
      <c r="AQ48" s="1186" t="str">
        <f>$I$18&amp;"."&amp;$M$48&amp;"."&amp;$Q$48&amp;"."&amp;$U$48</f>
        <v>1.11.1.1</v>
      </c>
      <c r="AR48" s="1869"/>
    </row>
    <row r="49" spans="1:44" ht="17.25" customHeight="1">
      <c r="A49" s="1747"/>
      <c r="B49" s="1869"/>
      <c r="C49" s="1752"/>
      <c r="D49" s="6669"/>
      <c r="E49" s="6670"/>
      <c r="F49" s="6648"/>
      <c r="G49" s="6661"/>
      <c r="H49" s="6669"/>
      <c r="I49" s="6669"/>
      <c r="J49" s="6687"/>
      <c r="K49" s="6691"/>
      <c r="L49" s="6611"/>
      <c r="M49" s="6611"/>
      <c r="N49" s="6683"/>
      <c r="O49" s="6689"/>
      <c r="P49" s="6611"/>
      <c r="Q49" s="6611"/>
      <c r="R49" s="6690" t="s">
        <v>24</v>
      </c>
      <c r="S49" s="6610"/>
      <c r="T49" s="241"/>
      <c r="U49" s="242"/>
      <c r="V49" s="242" t="s">
        <v>228</v>
      </c>
      <c r="W49" s="243"/>
      <c r="X49" s="1869"/>
      <c r="Y49" s="1179"/>
      <c r="Z49" s="1179"/>
      <c r="AA49" s="1179"/>
      <c r="AB49" s="1179"/>
      <c r="AC49" s="1179"/>
      <c r="AD49" s="1179"/>
      <c r="AE49" s="1179"/>
      <c r="AF49" s="1179"/>
      <c r="AG49" s="1179"/>
      <c r="AH49" s="1179"/>
      <c r="AI49" s="1179"/>
      <c r="AJ49" s="1179"/>
      <c r="AK49" s="1179"/>
      <c r="AL49" s="1869"/>
      <c r="AM49" s="1869"/>
      <c r="AN49" s="1869"/>
      <c r="AO49" s="1869"/>
      <c r="AP49" s="1869"/>
      <c r="AQ49" s="1869"/>
      <c r="AR49" s="1869"/>
    </row>
    <row r="50" spans="1:44" ht="17.25" customHeight="1">
      <c r="A50" s="1747"/>
      <c r="B50" s="1869"/>
      <c r="C50" s="1752"/>
      <c r="D50" s="6669"/>
      <c r="E50" s="6670"/>
      <c r="F50" s="6648"/>
      <c r="G50" s="6661"/>
      <c r="H50" s="6669"/>
      <c r="I50" s="6669"/>
      <c r="J50" s="6687"/>
      <c r="K50" s="6691"/>
      <c r="L50" s="6644"/>
      <c r="M50" s="6644"/>
      <c r="N50" s="6684"/>
      <c r="O50" s="6615"/>
      <c r="P50" s="241"/>
      <c r="Q50" s="242"/>
      <c r="R50" s="242" t="s">
        <v>229</v>
      </c>
      <c r="S50" s="1753"/>
      <c r="T50" s="1753"/>
      <c r="U50" s="1753"/>
      <c r="V50" s="1753"/>
      <c r="W50" s="243"/>
      <c r="X50" s="1869"/>
      <c r="Y50" s="1179"/>
      <c r="Z50" s="1179"/>
      <c r="AA50" s="1179"/>
      <c r="AB50" s="1179"/>
      <c r="AC50" s="1179"/>
      <c r="AD50" s="1179"/>
      <c r="AE50" s="1179"/>
      <c r="AF50" s="1179"/>
      <c r="AG50" s="1179"/>
      <c r="AH50" s="1179"/>
      <c r="AI50" s="1179"/>
      <c r="AJ50" s="1179"/>
      <c r="AK50" s="1179"/>
      <c r="AL50" s="1869"/>
      <c r="AM50" s="1869"/>
      <c r="AN50" s="1869"/>
      <c r="AO50" s="1869"/>
      <c r="AP50" s="1869"/>
      <c r="AQ50" s="1869"/>
      <c r="AR50" s="1869"/>
    </row>
    <row r="51" spans="1:44" ht="17.25" customHeight="1">
      <c r="A51" s="1747"/>
      <c r="B51" s="1869"/>
      <c r="C51" s="1749"/>
      <c r="D51" s="6669"/>
      <c r="E51" s="6670"/>
      <c r="F51" s="6648"/>
      <c r="G51" s="6661"/>
      <c r="H51" s="6669"/>
      <c r="I51" s="6669"/>
      <c r="J51" s="6687"/>
      <c r="K51" s="6691"/>
      <c r="L51" s="6611" t="s">
        <v>102</v>
      </c>
      <c r="M51" s="6611" t="s">
        <v>147</v>
      </c>
      <c r="N51" s="6683" t="str">
        <f>IF(Z51="","",INDEX(TERRITORY_MR_LIST,MATCH(Z51,TERRITORY_LIST_ID,0)))</f>
        <v>Территория 11</v>
      </c>
      <c r="O51" s="6688" t="s">
        <v>56</v>
      </c>
      <c r="P51" s="6611"/>
      <c r="Q51" s="6611" t="s">
        <v>178</v>
      </c>
      <c r="R51" s="6690" t="s">
        <v>24</v>
      </c>
      <c r="S51" s="6610" t="s">
        <v>56</v>
      </c>
      <c r="T51" s="1720"/>
      <c r="U51" s="1720" t="s">
        <v>178</v>
      </c>
      <c r="V51" s="1870" t="s">
        <v>24</v>
      </c>
      <c r="W51" s="1710"/>
      <c r="X51" s="1869"/>
      <c r="Y51" s="1186"/>
      <c r="Z51" s="1186" t="s">
        <v>143</v>
      </c>
      <c r="AA51" s="1186"/>
      <c r="AB51" s="1186"/>
      <c r="AC51" s="1871" t="s">
        <v>223</v>
      </c>
      <c r="AD51" s="1871" t="s">
        <v>224</v>
      </c>
      <c r="AE51" s="1186" t="s">
        <v>260</v>
      </c>
      <c r="AF51" s="1186" t="s">
        <v>261</v>
      </c>
      <c r="AG51" s="1186" t="s">
        <v>262</v>
      </c>
      <c r="AH51" s="1186" t="str">
        <f>IF($E$18=0,"",$E$18)</f>
        <v>Тарифы на тепловую энергию (мощность), поставляемую теплоснабжающими организациями потребителям, другим теплоснабжающим организациям</v>
      </c>
      <c r="AI51" s="1186" t="str">
        <f>IF($G$18=0,"",$G$18)</f>
        <v>Производство тепловой энергии. Некомбинированная выработка, Передача. Тепловая энергия, Сбыт. Тепловая энергия</v>
      </c>
      <c r="AJ51" s="1186" t="str">
        <f>IF($J$18=0,"",$J$18)</f>
        <v>Тариф на тепловую энергию (мощность), поставляемую потребителям</v>
      </c>
      <c r="AK51" s="1186" t="str">
        <f>IF($K$51="нет","без дифференциации",IF($N$51=0,"",$N$51))</f>
        <v>Территория 11</v>
      </c>
      <c r="AL51" s="1751" t="str">
        <f>IF($O$51="нет","без дифференциации",IF($R$51=0,"",$R$51))</f>
        <v>без дифференциации</v>
      </c>
      <c r="AM51" s="1751" t="str">
        <f>IF($S$51="нет","без дифференциации",IF($V$51=0,"",$V$51))</f>
        <v>без дифференциации</v>
      </c>
      <c r="AN51" s="1186">
        <f>$I$18</f>
        <v>1</v>
      </c>
      <c r="AO51" s="1186" t="str">
        <f>$I$18&amp;"."&amp;$M$51</f>
        <v>1.12</v>
      </c>
      <c r="AP51" s="1186" t="str">
        <f>$I$18&amp;"."&amp;$M$51&amp;"."&amp;$Q$51</f>
        <v>1.12.1</v>
      </c>
      <c r="AQ51" s="1186" t="str">
        <f>$I$18&amp;"."&amp;$M$51&amp;"."&amp;$Q$51&amp;"."&amp;$U$51</f>
        <v>1.12.1.1</v>
      </c>
      <c r="AR51" s="1869"/>
    </row>
    <row r="52" spans="1:44" ht="17.25" customHeight="1">
      <c r="A52" s="1747"/>
      <c r="B52" s="1869"/>
      <c r="C52" s="1752"/>
      <c r="D52" s="6669"/>
      <c r="E52" s="6670"/>
      <c r="F52" s="6648"/>
      <c r="G52" s="6661"/>
      <c r="H52" s="6669"/>
      <c r="I52" s="6669"/>
      <c r="J52" s="6687"/>
      <c r="K52" s="6691"/>
      <c r="L52" s="6611"/>
      <c r="M52" s="6611"/>
      <c r="N52" s="6683"/>
      <c r="O52" s="6689"/>
      <c r="P52" s="6611"/>
      <c r="Q52" s="6611"/>
      <c r="R52" s="6690" t="s">
        <v>24</v>
      </c>
      <c r="S52" s="6610"/>
      <c r="T52" s="241"/>
      <c r="U52" s="242"/>
      <c r="V52" s="242" t="s">
        <v>228</v>
      </c>
      <c r="W52" s="243"/>
      <c r="X52" s="1869"/>
      <c r="Y52" s="1179"/>
      <c r="Z52" s="1179"/>
      <c r="AA52" s="1179"/>
      <c r="AB52" s="1179"/>
      <c r="AC52" s="1179"/>
      <c r="AD52" s="1179"/>
      <c r="AE52" s="1179"/>
      <c r="AF52" s="1179"/>
      <c r="AG52" s="1179"/>
      <c r="AH52" s="1179"/>
      <c r="AI52" s="1179"/>
      <c r="AJ52" s="1179"/>
      <c r="AK52" s="1179"/>
      <c r="AL52" s="1869"/>
      <c r="AM52" s="1869"/>
      <c r="AN52" s="1869"/>
      <c r="AO52" s="1869"/>
      <c r="AP52" s="1869"/>
      <c r="AQ52" s="1869"/>
      <c r="AR52" s="1869"/>
    </row>
    <row r="53" spans="1:44" ht="17.25" customHeight="1">
      <c r="A53" s="1747"/>
      <c r="B53" s="1869"/>
      <c r="C53" s="1752"/>
      <c r="D53" s="6669"/>
      <c r="E53" s="6670"/>
      <c r="F53" s="6648"/>
      <c r="G53" s="6661"/>
      <c r="H53" s="6669"/>
      <c r="I53" s="6669"/>
      <c r="J53" s="6687"/>
      <c r="K53" s="6691"/>
      <c r="L53" s="6644"/>
      <c r="M53" s="6644"/>
      <c r="N53" s="6684"/>
      <c r="O53" s="6615"/>
      <c r="P53" s="241"/>
      <c r="Q53" s="242"/>
      <c r="R53" s="242" t="s">
        <v>229</v>
      </c>
      <c r="S53" s="1753"/>
      <c r="T53" s="1753"/>
      <c r="U53" s="1753"/>
      <c r="V53" s="1753"/>
      <c r="W53" s="243"/>
      <c r="X53" s="1869"/>
      <c r="Y53" s="1179"/>
      <c r="Z53" s="1179"/>
      <c r="AA53" s="1179"/>
      <c r="AB53" s="1179"/>
      <c r="AC53" s="1179"/>
      <c r="AD53" s="1179"/>
      <c r="AE53" s="1179"/>
      <c r="AF53" s="1179"/>
      <c r="AG53" s="1179"/>
      <c r="AH53" s="1179"/>
      <c r="AI53" s="1179"/>
      <c r="AJ53" s="1179"/>
      <c r="AK53" s="1179"/>
      <c r="AL53" s="1869"/>
      <c r="AM53" s="1869"/>
      <c r="AN53" s="1869"/>
      <c r="AO53" s="1869"/>
      <c r="AP53" s="1869"/>
      <c r="AQ53" s="1869"/>
      <c r="AR53" s="1869"/>
    </row>
    <row r="54" spans="1:44" ht="17.25" customHeight="1">
      <c r="A54" s="1747"/>
      <c r="B54" s="1869"/>
      <c r="C54" s="1749"/>
      <c r="D54" s="6669"/>
      <c r="E54" s="6670"/>
      <c r="F54" s="6648"/>
      <c r="G54" s="6661"/>
      <c r="H54" s="6669"/>
      <c r="I54" s="6669"/>
      <c r="J54" s="6687"/>
      <c r="K54" s="6691"/>
      <c r="L54" s="6611" t="s">
        <v>102</v>
      </c>
      <c r="M54" s="6611" t="s">
        <v>152</v>
      </c>
      <c r="N54" s="6683" t="str">
        <f>IF(Z54="","",INDEX(TERRITORY_MR_LIST,MATCH(Z54,TERRITORY_LIST_ID,0)))</f>
        <v>Территория 12</v>
      </c>
      <c r="O54" s="6688" t="s">
        <v>56</v>
      </c>
      <c r="P54" s="6611"/>
      <c r="Q54" s="6611" t="s">
        <v>178</v>
      </c>
      <c r="R54" s="6690" t="s">
        <v>24</v>
      </c>
      <c r="S54" s="6610" t="s">
        <v>56</v>
      </c>
      <c r="T54" s="1720"/>
      <c r="U54" s="1720" t="s">
        <v>178</v>
      </c>
      <c r="V54" s="1870" t="s">
        <v>24</v>
      </c>
      <c r="W54" s="1710"/>
      <c r="X54" s="1869"/>
      <c r="Y54" s="1186"/>
      <c r="Z54" s="1186" t="s">
        <v>148</v>
      </c>
      <c r="AA54" s="1186"/>
      <c r="AB54" s="1186"/>
      <c r="AC54" s="1871" t="s">
        <v>223</v>
      </c>
      <c r="AD54" s="1871" t="s">
        <v>224</v>
      </c>
      <c r="AE54" s="1186" t="s">
        <v>263</v>
      </c>
      <c r="AF54" s="1186" t="s">
        <v>264</v>
      </c>
      <c r="AG54" s="1186" t="s">
        <v>265</v>
      </c>
      <c r="AH54" s="1186" t="str">
        <f>IF($E$18=0,"",$E$18)</f>
        <v>Тарифы на тепловую энергию (мощность), поставляемую теплоснабжающими организациями потребителям, другим теплоснабжающим организациям</v>
      </c>
      <c r="AI54" s="1186" t="str">
        <f>IF($G$18=0,"",$G$18)</f>
        <v>Производство тепловой энергии. Некомбинированная выработка, Передача. Тепловая энергия, Сбыт. Тепловая энергия</v>
      </c>
      <c r="AJ54" s="1186" t="str">
        <f>IF($J$18=0,"",$J$18)</f>
        <v>Тариф на тепловую энергию (мощность), поставляемую потребителям</v>
      </c>
      <c r="AK54" s="1186" t="str">
        <f>IF($K$54="нет","без дифференциации",IF($N$54=0,"",$N$54))</f>
        <v>Территория 12</v>
      </c>
      <c r="AL54" s="1751" t="str">
        <f>IF($O$54="нет","без дифференциации",IF($R$54=0,"",$R$54))</f>
        <v>без дифференциации</v>
      </c>
      <c r="AM54" s="1751" t="str">
        <f>IF($S$54="нет","без дифференциации",IF($V$54=0,"",$V$54))</f>
        <v>без дифференциации</v>
      </c>
      <c r="AN54" s="1186">
        <f>$I$18</f>
        <v>1</v>
      </c>
      <c r="AO54" s="1186" t="str">
        <f>$I$18&amp;"."&amp;$M$54</f>
        <v>1.13</v>
      </c>
      <c r="AP54" s="1186" t="str">
        <f>$I$18&amp;"."&amp;$M$54&amp;"."&amp;$Q$54</f>
        <v>1.13.1</v>
      </c>
      <c r="AQ54" s="1186" t="str">
        <f>$I$18&amp;"."&amp;$M$54&amp;"."&amp;$Q$54&amp;"."&amp;$U$54</f>
        <v>1.13.1.1</v>
      </c>
      <c r="AR54" s="1869"/>
    </row>
    <row r="55" spans="1:44" ht="17.25" customHeight="1">
      <c r="A55" s="1747"/>
      <c r="B55" s="1869"/>
      <c r="C55" s="1752"/>
      <c r="D55" s="6669"/>
      <c r="E55" s="6670"/>
      <c r="F55" s="6648"/>
      <c r="G55" s="6661"/>
      <c r="H55" s="6669"/>
      <c r="I55" s="6669"/>
      <c r="J55" s="6687"/>
      <c r="K55" s="6691"/>
      <c r="L55" s="6611"/>
      <c r="M55" s="6611"/>
      <c r="N55" s="6683"/>
      <c r="O55" s="6689"/>
      <c r="P55" s="6611"/>
      <c r="Q55" s="6611"/>
      <c r="R55" s="6690" t="s">
        <v>24</v>
      </c>
      <c r="S55" s="6610"/>
      <c r="T55" s="241"/>
      <c r="U55" s="242"/>
      <c r="V55" s="242" t="s">
        <v>228</v>
      </c>
      <c r="W55" s="243"/>
      <c r="X55" s="1869"/>
      <c r="Y55" s="1179"/>
      <c r="Z55" s="1179"/>
      <c r="AA55" s="1179"/>
      <c r="AB55" s="1179"/>
      <c r="AC55" s="1179"/>
      <c r="AD55" s="1179"/>
      <c r="AE55" s="1179"/>
      <c r="AF55" s="1179"/>
      <c r="AG55" s="1179"/>
      <c r="AH55" s="1179"/>
      <c r="AI55" s="1179"/>
      <c r="AJ55" s="1179"/>
      <c r="AK55" s="1179"/>
      <c r="AL55" s="1869"/>
      <c r="AM55" s="1869"/>
      <c r="AN55" s="1869"/>
      <c r="AO55" s="1869"/>
      <c r="AP55" s="1869"/>
      <c r="AQ55" s="1869"/>
      <c r="AR55" s="1869"/>
    </row>
    <row r="56" spans="1:44" ht="17.25" customHeight="1">
      <c r="A56" s="1747"/>
      <c r="B56" s="1869"/>
      <c r="C56" s="1752"/>
      <c r="D56" s="6669"/>
      <c r="E56" s="6670"/>
      <c r="F56" s="6648"/>
      <c r="G56" s="6661"/>
      <c r="H56" s="6669"/>
      <c r="I56" s="6669"/>
      <c r="J56" s="6687"/>
      <c r="K56" s="6691"/>
      <c r="L56" s="6644"/>
      <c r="M56" s="6644"/>
      <c r="N56" s="6684"/>
      <c r="O56" s="6615"/>
      <c r="P56" s="241"/>
      <c r="Q56" s="242"/>
      <c r="R56" s="242" t="s">
        <v>229</v>
      </c>
      <c r="S56" s="1753"/>
      <c r="T56" s="1753"/>
      <c r="U56" s="1753"/>
      <c r="V56" s="1753"/>
      <c r="W56" s="243"/>
      <c r="X56" s="1869"/>
      <c r="Y56" s="1179"/>
      <c r="Z56" s="1179"/>
      <c r="AA56" s="1179"/>
      <c r="AB56" s="1179"/>
      <c r="AC56" s="1179"/>
      <c r="AD56" s="1179"/>
      <c r="AE56" s="1179"/>
      <c r="AF56" s="1179"/>
      <c r="AG56" s="1179"/>
      <c r="AH56" s="1179"/>
      <c r="AI56" s="1179"/>
      <c r="AJ56" s="1179"/>
      <c r="AK56" s="1179"/>
      <c r="AL56" s="1869"/>
      <c r="AM56" s="1869"/>
      <c r="AN56" s="1869"/>
      <c r="AO56" s="1869"/>
      <c r="AP56" s="1869"/>
      <c r="AQ56" s="1869"/>
      <c r="AR56" s="1869"/>
    </row>
    <row r="57" spans="1:44" ht="17.25" customHeight="1">
      <c r="A57" s="1747"/>
      <c r="B57" s="1869"/>
      <c r="C57" s="1749"/>
      <c r="D57" s="6669"/>
      <c r="E57" s="6670"/>
      <c r="F57" s="6648"/>
      <c r="G57" s="6661"/>
      <c r="H57" s="6669"/>
      <c r="I57" s="6669"/>
      <c r="J57" s="6687"/>
      <c r="K57" s="6691"/>
      <c r="L57" s="6611" t="s">
        <v>102</v>
      </c>
      <c r="M57" s="6611" t="s">
        <v>157</v>
      </c>
      <c r="N57" s="6683" t="str">
        <f>IF(Z57="","",INDEX(TERRITORY_MR_LIST,MATCH(Z57,TERRITORY_LIST_ID,0)))</f>
        <v>Территория 13</v>
      </c>
      <c r="O57" s="6688" t="s">
        <v>56</v>
      </c>
      <c r="P57" s="6611"/>
      <c r="Q57" s="6611" t="s">
        <v>178</v>
      </c>
      <c r="R57" s="6690" t="s">
        <v>24</v>
      </c>
      <c r="S57" s="6610" t="s">
        <v>56</v>
      </c>
      <c r="T57" s="1720"/>
      <c r="U57" s="1720" t="s">
        <v>178</v>
      </c>
      <c r="V57" s="1870" t="s">
        <v>24</v>
      </c>
      <c r="W57" s="1710"/>
      <c r="X57" s="1869"/>
      <c r="Y57" s="1186"/>
      <c r="Z57" s="1186" t="s">
        <v>153</v>
      </c>
      <c r="AA57" s="1186"/>
      <c r="AB57" s="1186"/>
      <c r="AC57" s="1871" t="s">
        <v>223</v>
      </c>
      <c r="AD57" s="1871" t="s">
        <v>224</v>
      </c>
      <c r="AE57" s="1186" t="s">
        <v>266</v>
      </c>
      <c r="AF57" s="1186" t="s">
        <v>267</v>
      </c>
      <c r="AG57" s="1186" t="s">
        <v>268</v>
      </c>
      <c r="AH57" s="1186" t="str">
        <f>IF($E$18=0,"",$E$18)</f>
        <v>Тарифы на тепловую энергию (мощность), поставляемую теплоснабжающими организациями потребителям, другим теплоснабжающим организациям</v>
      </c>
      <c r="AI57" s="1186" t="str">
        <f>IF($G$18=0,"",$G$18)</f>
        <v>Производство тепловой энергии. Некомбинированная выработка, Передача. Тепловая энергия, Сбыт. Тепловая энергия</v>
      </c>
      <c r="AJ57" s="1186" t="str">
        <f>IF($J$18=0,"",$J$18)</f>
        <v>Тариф на тепловую энергию (мощность), поставляемую потребителям</v>
      </c>
      <c r="AK57" s="1186" t="str">
        <f>IF($K$57="нет","без дифференциации",IF($N$57=0,"",$N$57))</f>
        <v>Территория 13</v>
      </c>
      <c r="AL57" s="1751" t="str">
        <f>IF($O$57="нет","без дифференциации",IF($R$57=0,"",$R$57))</f>
        <v>без дифференциации</v>
      </c>
      <c r="AM57" s="1751" t="str">
        <f>IF($S$57="нет","без дифференциации",IF($V$57=0,"",$V$57))</f>
        <v>без дифференциации</v>
      </c>
      <c r="AN57" s="1186">
        <f>$I$18</f>
        <v>1</v>
      </c>
      <c r="AO57" s="1186" t="str">
        <f>$I$18&amp;"."&amp;$M$57</f>
        <v>1.14</v>
      </c>
      <c r="AP57" s="1186" t="str">
        <f>$I$18&amp;"."&amp;$M$57&amp;"."&amp;$Q$57</f>
        <v>1.14.1</v>
      </c>
      <c r="AQ57" s="1186" t="str">
        <f>$I$18&amp;"."&amp;$M$57&amp;"."&amp;$Q$57&amp;"."&amp;$U$57</f>
        <v>1.14.1.1</v>
      </c>
      <c r="AR57" s="1869"/>
    </row>
    <row r="58" spans="1:44" ht="17.25" customHeight="1">
      <c r="A58" s="1747"/>
      <c r="B58" s="1869"/>
      <c r="C58" s="1752"/>
      <c r="D58" s="6669"/>
      <c r="E58" s="6670"/>
      <c r="F58" s="6648"/>
      <c r="G58" s="6661"/>
      <c r="H58" s="6669"/>
      <c r="I58" s="6669"/>
      <c r="J58" s="6687"/>
      <c r="K58" s="6691"/>
      <c r="L58" s="6611"/>
      <c r="M58" s="6611"/>
      <c r="N58" s="6683"/>
      <c r="O58" s="6689"/>
      <c r="P58" s="6611"/>
      <c r="Q58" s="6611"/>
      <c r="R58" s="6690" t="s">
        <v>24</v>
      </c>
      <c r="S58" s="6610"/>
      <c r="T58" s="241"/>
      <c r="U58" s="242"/>
      <c r="V58" s="242" t="s">
        <v>228</v>
      </c>
      <c r="W58" s="243"/>
      <c r="X58" s="1869"/>
      <c r="Y58" s="1179"/>
      <c r="Z58" s="1179"/>
      <c r="AA58" s="1179"/>
      <c r="AB58" s="1179"/>
      <c r="AC58" s="1179"/>
      <c r="AD58" s="1179"/>
      <c r="AE58" s="1179"/>
      <c r="AF58" s="1179"/>
      <c r="AG58" s="1179"/>
      <c r="AH58" s="1179"/>
      <c r="AI58" s="1179"/>
      <c r="AJ58" s="1179"/>
      <c r="AK58" s="1179"/>
      <c r="AL58" s="1869"/>
      <c r="AM58" s="1869"/>
      <c r="AN58" s="1869"/>
      <c r="AO58" s="1869"/>
      <c r="AP58" s="1869"/>
      <c r="AQ58" s="1869"/>
      <c r="AR58" s="1869"/>
    </row>
    <row r="59" spans="1:44" ht="17.25" customHeight="1">
      <c r="A59" s="1747"/>
      <c r="B59" s="1869"/>
      <c r="C59" s="1752"/>
      <c r="D59" s="6669"/>
      <c r="E59" s="6670"/>
      <c r="F59" s="6648"/>
      <c r="G59" s="6661"/>
      <c r="H59" s="6669"/>
      <c r="I59" s="6669"/>
      <c r="J59" s="6687"/>
      <c r="K59" s="6691"/>
      <c r="L59" s="6644"/>
      <c r="M59" s="6644"/>
      <c r="N59" s="6684"/>
      <c r="O59" s="6615"/>
      <c r="P59" s="241"/>
      <c r="Q59" s="242"/>
      <c r="R59" s="242" t="s">
        <v>229</v>
      </c>
      <c r="S59" s="1753"/>
      <c r="T59" s="1753"/>
      <c r="U59" s="1753"/>
      <c r="V59" s="1753"/>
      <c r="W59" s="243"/>
      <c r="X59" s="1869"/>
      <c r="Y59" s="1179"/>
      <c r="Z59" s="1179"/>
      <c r="AA59" s="1179"/>
      <c r="AB59" s="1179"/>
      <c r="AC59" s="1179"/>
      <c r="AD59" s="1179"/>
      <c r="AE59" s="1179"/>
      <c r="AF59" s="1179"/>
      <c r="AG59" s="1179"/>
      <c r="AH59" s="1179"/>
      <c r="AI59" s="1179"/>
      <c r="AJ59" s="1179"/>
      <c r="AK59" s="1179"/>
      <c r="AL59" s="1869"/>
      <c r="AM59" s="1869"/>
      <c r="AN59" s="1869"/>
      <c r="AO59" s="1869"/>
      <c r="AP59" s="1869"/>
      <c r="AQ59" s="1869"/>
      <c r="AR59" s="1869"/>
    </row>
    <row r="60" spans="1:44" ht="17.25" customHeight="1">
      <c r="A60" s="1747"/>
      <c r="B60" s="1869"/>
      <c r="C60" s="1749"/>
      <c r="D60" s="6669"/>
      <c r="E60" s="6670"/>
      <c r="F60" s="6648"/>
      <c r="G60" s="6661"/>
      <c r="H60" s="6669"/>
      <c r="I60" s="6669"/>
      <c r="J60" s="6687"/>
      <c r="K60" s="6691"/>
      <c r="L60" s="6611" t="s">
        <v>102</v>
      </c>
      <c r="M60" s="6611" t="s">
        <v>162</v>
      </c>
      <c r="N60" s="6683" t="str">
        <f>IF(Z60="","",INDEX(TERRITORY_MR_LIST,MATCH(Z60,TERRITORY_LIST_ID,0)))</f>
        <v>Территория 14</v>
      </c>
      <c r="O60" s="6688" t="s">
        <v>56</v>
      </c>
      <c r="P60" s="6611"/>
      <c r="Q60" s="6611" t="s">
        <v>178</v>
      </c>
      <c r="R60" s="6690" t="s">
        <v>24</v>
      </c>
      <c r="S60" s="6610" t="s">
        <v>56</v>
      </c>
      <c r="T60" s="1720"/>
      <c r="U60" s="1720" t="s">
        <v>178</v>
      </c>
      <c r="V60" s="1870" t="s">
        <v>24</v>
      </c>
      <c r="W60" s="1710"/>
      <c r="X60" s="1869"/>
      <c r="Y60" s="1186"/>
      <c r="Z60" s="1186" t="s">
        <v>158</v>
      </c>
      <c r="AA60" s="1186"/>
      <c r="AB60" s="1186"/>
      <c r="AC60" s="1871" t="s">
        <v>223</v>
      </c>
      <c r="AD60" s="1871" t="s">
        <v>224</v>
      </c>
      <c r="AE60" s="1186" t="s">
        <v>269</v>
      </c>
      <c r="AF60" s="1186" t="s">
        <v>270</v>
      </c>
      <c r="AG60" s="1186" t="s">
        <v>271</v>
      </c>
      <c r="AH60" s="1186" t="str">
        <f>IF($E$18=0,"",$E$18)</f>
        <v>Тарифы на тепловую энергию (мощность), поставляемую теплоснабжающими организациями потребителям, другим теплоснабжающим организациям</v>
      </c>
      <c r="AI60" s="1186" t="str">
        <f>IF($G$18=0,"",$G$18)</f>
        <v>Производство тепловой энергии. Некомбинированная выработка, Передача. Тепловая энергия, Сбыт. Тепловая энергия</v>
      </c>
      <c r="AJ60" s="1186" t="str">
        <f>IF($J$18=0,"",$J$18)</f>
        <v>Тариф на тепловую энергию (мощность), поставляемую потребителям</v>
      </c>
      <c r="AK60" s="1186" t="str">
        <f>IF($K$60="нет","без дифференциации",IF($N$60=0,"",$N$60))</f>
        <v>Территория 14</v>
      </c>
      <c r="AL60" s="1751" t="str">
        <f>IF($O$60="нет","без дифференциации",IF($R$60=0,"",$R$60))</f>
        <v>без дифференциации</v>
      </c>
      <c r="AM60" s="1751" t="str">
        <f>IF($S$60="нет","без дифференциации",IF($V$60=0,"",$V$60))</f>
        <v>без дифференциации</v>
      </c>
      <c r="AN60" s="1186">
        <f>$I$18</f>
        <v>1</v>
      </c>
      <c r="AO60" s="1186" t="str">
        <f>$I$18&amp;"."&amp;$M$60</f>
        <v>1.15</v>
      </c>
      <c r="AP60" s="1186" t="str">
        <f>$I$18&amp;"."&amp;$M$60&amp;"."&amp;$Q$60</f>
        <v>1.15.1</v>
      </c>
      <c r="AQ60" s="1186" t="str">
        <f>$I$18&amp;"."&amp;$M$60&amp;"."&amp;$Q$60&amp;"."&amp;$U$60</f>
        <v>1.15.1.1</v>
      </c>
      <c r="AR60" s="1869"/>
    </row>
    <row r="61" spans="1:44" ht="17.25" customHeight="1">
      <c r="A61" s="1747"/>
      <c r="B61" s="1869"/>
      <c r="C61" s="1752"/>
      <c r="D61" s="6669"/>
      <c r="E61" s="6670"/>
      <c r="F61" s="6648"/>
      <c r="G61" s="6661"/>
      <c r="H61" s="6669"/>
      <c r="I61" s="6669"/>
      <c r="J61" s="6687"/>
      <c r="K61" s="6691"/>
      <c r="L61" s="6611"/>
      <c r="M61" s="6611"/>
      <c r="N61" s="6683"/>
      <c r="O61" s="6689"/>
      <c r="P61" s="6611"/>
      <c r="Q61" s="6611"/>
      <c r="R61" s="6690" t="s">
        <v>24</v>
      </c>
      <c r="S61" s="6610"/>
      <c r="T61" s="241"/>
      <c r="U61" s="242"/>
      <c r="V61" s="242" t="s">
        <v>228</v>
      </c>
      <c r="W61" s="243"/>
      <c r="X61" s="1869"/>
      <c r="Y61" s="1179"/>
      <c r="Z61" s="1179"/>
      <c r="AA61" s="1179"/>
      <c r="AB61" s="1179"/>
      <c r="AC61" s="1179"/>
      <c r="AD61" s="1179"/>
      <c r="AE61" s="1179"/>
      <c r="AF61" s="1179"/>
      <c r="AG61" s="1179"/>
      <c r="AH61" s="1179"/>
      <c r="AI61" s="1179"/>
      <c r="AJ61" s="1179"/>
      <c r="AK61" s="1179"/>
      <c r="AL61" s="1869"/>
      <c r="AM61" s="1869"/>
      <c r="AN61" s="1869"/>
      <c r="AO61" s="1869"/>
      <c r="AP61" s="1869"/>
      <c r="AQ61" s="1869"/>
      <c r="AR61" s="1869"/>
    </row>
    <row r="62" spans="1:44" ht="17.25" customHeight="1">
      <c r="A62" s="1747"/>
      <c r="B62" s="1869"/>
      <c r="C62" s="1752"/>
      <c r="D62" s="6669"/>
      <c r="E62" s="6670"/>
      <c r="F62" s="6648"/>
      <c r="G62" s="6661"/>
      <c r="H62" s="6669"/>
      <c r="I62" s="6669"/>
      <c r="J62" s="6687"/>
      <c r="K62" s="6691"/>
      <c r="L62" s="6644"/>
      <c r="M62" s="6644"/>
      <c r="N62" s="6684"/>
      <c r="O62" s="6615"/>
      <c r="P62" s="241"/>
      <c r="Q62" s="242"/>
      <c r="R62" s="242" t="s">
        <v>229</v>
      </c>
      <c r="S62" s="1753"/>
      <c r="T62" s="1753"/>
      <c r="U62" s="1753"/>
      <c r="V62" s="1753"/>
      <c r="W62" s="243"/>
      <c r="X62" s="1869"/>
      <c r="Y62" s="1179"/>
      <c r="Z62" s="1179"/>
      <c r="AA62" s="1179"/>
      <c r="AB62" s="1179"/>
      <c r="AC62" s="1179"/>
      <c r="AD62" s="1179"/>
      <c r="AE62" s="1179"/>
      <c r="AF62" s="1179"/>
      <c r="AG62" s="1179"/>
      <c r="AH62" s="1179"/>
      <c r="AI62" s="1179"/>
      <c r="AJ62" s="1179"/>
      <c r="AK62" s="1179"/>
      <c r="AL62" s="1869"/>
      <c r="AM62" s="1869"/>
      <c r="AN62" s="1869"/>
      <c r="AO62" s="1869"/>
      <c r="AP62" s="1869"/>
      <c r="AQ62" s="1869"/>
      <c r="AR62" s="1869"/>
    </row>
    <row r="63" spans="1:44" s="1852" customFormat="1" ht="17.25" customHeight="1">
      <c r="A63" s="245"/>
      <c r="C63" s="244"/>
      <c r="D63" s="6644"/>
      <c r="E63" s="6646"/>
      <c r="F63" s="6648"/>
      <c r="G63" s="6660"/>
      <c r="H63" s="6644"/>
      <c r="I63" s="6644"/>
      <c r="J63" s="6686"/>
      <c r="K63" s="6615"/>
      <c r="L63" s="1872"/>
      <c r="M63" s="1873"/>
      <c r="N63" s="1874" t="s">
        <v>272</v>
      </c>
      <c r="O63" s="1875"/>
      <c r="P63" s="1876"/>
      <c r="Q63" s="1877"/>
      <c r="R63" s="1878"/>
      <c r="S63" s="1879"/>
      <c r="T63" s="1880"/>
      <c r="U63" s="1881"/>
      <c r="V63" s="1882"/>
      <c r="W63" s="1883"/>
      <c r="X63" s="1179"/>
      <c r="Y63" s="1179"/>
      <c r="Z63" s="1179"/>
      <c r="AA63" s="1179"/>
      <c r="AB63" s="1179"/>
      <c r="AC63" s="1179"/>
      <c r="AD63" s="1179"/>
      <c r="AE63" s="1179"/>
      <c r="AF63" s="1179"/>
      <c r="AG63" s="1179"/>
      <c r="AH63" s="1179"/>
      <c r="AI63" s="1179"/>
      <c r="AJ63" s="1179"/>
      <c r="AK63" s="1179"/>
      <c r="AL63" s="1179"/>
      <c r="AM63" s="1179"/>
      <c r="AN63" s="1179"/>
      <c r="AO63" s="1179"/>
      <c r="AP63" s="1179"/>
      <c r="AQ63" s="1179"/>
    </row>
    <row r="64" spans="1:44" s="1852" customFormat="1" ht="17.25" customHeight="1">
      <c r="A64" s="245"/>
      <c r="C64" s="244"/>
      <c r="D64" s="6644"/>
      <c r="E64" s="6646"/>
      <c r="F64" s="6649"/>
      <c r="G64" s="6660"/>
      <c r="H64" s="1884"/>
      <c r="I64" s="1885"/>
      <c r="J64" s="1886" t="s">
        <v>273</v>
      </c>
      <c r="K64" s="1887"/>
      <c r="L64" s="1888"/>
      <c r="M64" s="1889"/>
      <c r="N64" s="1890"/>
      <c r="O64" s="1891"/>
      <c r="P64" s="1892"/>
      <c r="Q64" s="1893"/>
      <c r="R64" s="1894"/>
      <c r="S64" s="1895"/>
      <c r="T64" s="1896"/>
      <c r="U64" s="1897"/>
      <c r="V64" s="1898"/>
      <c r="W64" s="1899"/>
      <c r="X64" s="1179"/>
      <c r="Y64" s="1179"/>
      <c r="Z64" s="1179"/>
      <c r="AA64" s="1179"/>
      <c r="AB64" s="1179"/>
      <c r="AC64" s="1179"/>
      <c r="AD64" s="1179"/>
      <c r="AE64" s="1179"/>
      <c r="AF64" s="1179"/>
      <c r="AG64" s="1179"/>
      <c r="AH64" s="1179"/>
      <c r="AI64" s="1179"/>
      <c r="AJ64" s="1179"/>
      <c r="AK64" s="1179"/>
      <c r="AL64" s="1179"/>
      <c r="AM64" s="1179"/>
      <c r="AN64" s="1179"/>
      <c r="AO64" s="1179"/>
      <c r="AP64" s="1179"/>
      <c r="AQ64" s="1179"/>
    </row>
    <row r="65" spans="1:44" s="1852" customFormat="1" ht="17.25" customHeight="1">
      <c r="A65" s="245"/>
      <c r="C65" s="130"/>
      <c r="D65" s="6643">
        <v>3</v>
      </c>
      <c r="E65" s="6645" t="s">
        <v>274</v>
      </c>
      <c r="F65" s="6647" t="s">
        <v>61</v>
      </c>
      <c r="G65" s="6659" t="str">
        <f>"Производство. Теплоноситель, Передача. Теплоноситель"&amp;", "&amp;INDEX(HEAT_PT_VED_NAME,MATCH(4190071,HEAT_PT_VED_ID,0))</f>
        <v>Производство. Теплоноситель, Передача. Теплоноситель, Сбыт. Теплоноситель</v>
      </c>
      <c r="H65" s="6682"/>
      <c r="I65" s="6682">
        <v>1</v>
      </c>
      <c r="J65" s="6685" t="s">
        <v>275</v>
      </c>
      <c r="K65" s="6688" t="s">
        <v>61</v>
      </c>
      <c r="L65" s="6611"/>
      <c r="M65" s="6611" t="s">
        <v>178</v>
      </c>
      <c r="N65" s="6683" t="str">
        <f>IF(Z65="","",INDEX(TERRITORY_MR_LIST,MATCH(Z65,TERRITORY_LIST_ID,0)))</f>
        <v>Территория 3</v>
      </c>
      <c r="O65" s="6688" t="s">
        <v>56</v>
      </c>
      <c r="P65" s="6611"/>
      <c r="Q65" s="6611" t="s">
        <v>178</v>
      </c>
      <c r="R65" s="6690" t="s">
        <v>24</v>
      </c>
      <c r="S65" s="6610" t="s">
        <v>56</v>
      </c>
      <c r="T65" s="1854"/>
      <c r="U65" s="1854" t="s">
        <v>178</v>
      </c>
      <c r="V65" s="1855" t="s">
        <v>24</v>
      </c>
      <c r="W65" s="1853"/>
      <c r="X65" s="1186"/>
      <c r="Y65" s="1186"/>
      <c r="Z65" s="1186" t="s">
        <v>107</v>
      </c>
      <c r="AA65" s="1186"/>
      <c r="AB65" s="1186" t="s">
        <v>276</v>
      </c>
      <c r="AC65" s="1186" t="s">
        <v>277</v>
      </c>
      <c r="AD65" s="1186" t="s">
        <v>278</v>
      </c>
      <c r="AE65" s="1186" t="s">
        <v>279</v>
      </c>
      <c r="AF65" s="1186" t="s">
        <v>280</v>
      </c>
      <c r="AG65" s="1186" t="s">
        <v>281</v>
      </c>
      <c r="AH65" s="1186" t="str">
        <f>IF($E$65=0,"",$E$65)</f>
        <v>Тарифы на теплоноситель, поставляемый теплоснабжающими организациями потребителям, другим теплоснабжающим организациям</v>
      </c>
      <c r="AI65" s="1186" t="str">
        <f>IF($G$65=0,"",$G$65)</f>
        <v>Производство. Теплоноситель, Передача. Теплоноситель, Сбыт. Теплоноситель</v>
      </c>
      <c r="AJ65" s="1186" t="str">
        <f>IF($J$65=0,"",$J$65)</f>
        <v>Тариф на теплоноситель, поставляемый потребителям</v>
      </c>
      <c r="AK65" s="1186" t="str">
        <f>IF($K$65="нет","без дифференциации",IF($N$65=0,"",$N$65))</f>
        <v>Территория 3</v>
      </c>
      <c r="AL65" s="1186" t="str">
        <f>IF($O$65="нет","без дифференциации",IF($R$65=0,"",$R$65))</f>
        <v>без дифференциации</v>
      </c>
      <c r="AM65" s="1186" t="str">
        <f>IF($S$65="нет","без дифференциации",IF($V$65=0,"",$V$65))</f>
        <v>без дифференциации</v>
      </c>
      <c r="AN65" s="1681">
        <f>$I$65</f>
        <v>1</v>
      </c>
      <c r="AO65" s="1186" t="str">
        <f>$I$65&amp;"."&amp;$M$65</f>
        <v>1.1</v>
      </c>
      <c r="AP65" s="1179" t="str">
        <f>$I$65&amp;"."&amp;$M$65&amp;"."&amp;$Q$65</f>
        <v>1.1.1</v>
      </c>
      <c r="AQ65" s="1179" t="str">
        <f>$I$65&amp;"."&amp;$M$65&amp;"."&amp;$Q$65&amp;"."&amp;$U$65</f>
        <v>1.1.1.1</v>
      </c>
    </row>
    <row r="66" spans="1:44" s="1852" customFormat="1" ht="17.25" customHeight="1">
      <c r="A66" s="245"/>
      <c r="C66" s="244"/>
      <c r="D66" s="6643"/>
      <c r="E66" s="6645"/>
      <c r="F66" s="6648"/>
      <c r="G66" s="6659"/>
      <c r="H66" s="6682"/>
      <c r="I66" s="6682"/>
      <c r="J66" s="6685"/>
      <c r="K66" s="6689"/>
      <c r="L66" s="6611"/>
      <c r="M66" s="6611"/>
      <c r="N66" s="6683"/>
      <c r="O66" s="6689"/>
      <c r="P66" s="6611"/>
      <c r="Q66" s="6611"/>
      <c r="R66" s="6690" t="s">
        <v>24</v>
      </c>
      <c r="S66" s="6610"/>
      <c r="T66" s="1900"/>
      <c r="U66" s="1901"/>
      <c r="V66" s="1902" t="s">
        <v>228</v>
      </c>
      <c r="W66" s="1903"/>
      <c r="X66" s="1179"/>
      <c r="Y66" s="1179"/>
      <c r="Z66" s="1179"/>
      <c r="AA66" s="1179"/>
      <c r="AB66" s="1179"/>
      <c r="AC66" s="1179"/>
      <c r="AD66" s="1179"/>
      <c r="AE66" s="1179"/>
      <c r="AF66" s="1179"/>
      <c r="AG66" s="1179"/>
      <c r="AH66" s="1179"/>
      <c r="AI66" s="1179"/>
      <c r="AJ66" s="1179"/>
      <c r="AK66" s="1179"/>
      <c r="AL66" s="1179"/>
      <c r="AM66" s="1179"/>
      <c r="AN66" s="1179"/>
      <c r="AO66" s="1179"/>
      <c r="AP66" s="1179"/>
      <c r="AQ66" s="1179"/>
    </row>
    <row r="67" spans="1:44" s="1852" customFormat="1" ht="17.25" customHeight="1">
      <c r="A67" s="245"/>
      <c r="C67" s="244"/>
      <c r="D67" s="6644"/>
      <c r="E67" s="6646"/>
      <c r="F67" s="6648"/>
      <c r="G67" s="6660"/>
      <c r="H67" s="6644"/>
      <c r="I67" s="6644"/>
      <c r="J67" s="6686"/>
      <c r="K67" s="6689"/>
      <c r="L67" s="6644"/>
      <c r="M67" s="6644"/>
      <c r="N67" s="6684"/>
      <c r="O67" s="6615"/>
      <c r="P67" s="1904"/>
      <c r="Q67" s="1905"/>
      <c r="R67" s="1906" t="s">
        <v>229</v>
      </c>
      <c r="S67" s="1907"/>
      <c r="T67" s="1908"/>
      <c r="U67" s="1909"/>
      <c r="V67" s="1910"/>
      <c r="W67" s="1911"/>
      <c r="X67" s="1179"/>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4" ht="17.25" customHeight="1">
      <c r="A68" s="1747"/>
      <c r="B68" s="1869"/>
      <c r="C68" s="1749"/>
      <c r="D68" s="6669"/>
      <c r="E68" s="6670"/>
      <c r="F68" s="6648"/>
      <c r="G68" s="6661"/>
      <c r="H68" s="6669"/>
      <c r="I68" s="6669"/>
      <c r="J68" s="6687"/>
      <c r="K68" s="6691"/>
      <c r="L68" s="6611" t="s">
        <v>102</v>
      </c>
      <c r="M68" s="6611" t="s">
        <v>98</v>
      </c>
      <c r="N68" s="6683" t="str">
        <f>IF(Z68="","",INDEX(TERRITORY_MR_LIST,MATCH(Z68,TERRITORY_LIST_ID,0)))</f>
        <v>Территория 7</v>
      </c>
      <c r="O68" s="6688" t="s">
        <v>56</v>
      </c>
      <c r="P68" s="6611"/>
      <c r="Q68" s="6611" t="s">
        <v>178</v>
      </c>
      <c r="R68" s="6690" t="s">
        <v>24</v>
      </c>
      <c r="S68" s="6610" t="s">
        <v>56</v>
      </c>
      <c r="T68" s="1720"/>
      <c r="U68" s="1720" t="s">
        <v>178</v>
      </c>
      <c r="V68" s="1870" t="s">
        <v>24</v>
      </c>
      <c r="W68" s="1710"/>
      <c r="X68" s="1869"/>
      <c r="Y68" s="1186"/>
      <c r="Z68" s="1186" t="s">
        <v>124</v>
      </c>
      <c r="AA68" s="1186"/>
      <c r="AB68" s="1186"/>
      <c r="AC68" s="1871" t="s">
        <v>277</v>
      </c>
      <c r="AD68" s="1871" t="s">
        <v>278</v>
      </c>
      <c r="AE68" s="1186" t="s">
        <v>282</v>
      </c>
      <c r="AF68" s="1186" t="s">
        <v>283</v>
      </c>
      <c r="AG68" s="1186" t="s">
        <v>284</v>
      </c>
      <c r="AH68" s="1186" t="str">
        <f>IF($E$65=0,"",$E$65)</f>
        <v>Тарифы на теплоноситель, поставляемый теплоснабжающими организациями потребителям, другим теплоснабжающим организациям</v>
      </c>
      <c r="AI68" s="1186" t="str">
        <f>IF($G$65=0,"",$G$65)</f>
        <v>Производство. Теплоноситель, Передача. Теплоноситель, Сбыт. Теплоноситель</v>
      </c>
      <c r="AJ68" s="1186" t="str">
        <f>IF($J$65=0,"",$J$65)</f>
        <v>Тариф на теплоноситель, поставляемый потребителям</v>
      </c>
      <c r="AK68" s="1186" t="str">
        <f>IF($K$68="нет","без дифференциации",IF($N$68=0,"",$N$68))</f>
        <v>Территория 7</v>
      </c>
      <c r="AL68" s="1751" t="str">
        <f>IF($O$68="нет","без дифференциации",IF($R$68=0,"",$R$68))</f>
        <v>без дифференциации</v>
      </c>
      <c r="AM68" s="1751" t="str">
        <f>IF($S$68="нет","без дифференциации",IF($V$68=0,"",$V$68))</f>
        <v>без дифференциации</v>
      </c>
      <c r="AN68" s="1186">
        <f>$I$65</f>
        <v>1</v>
      </c>
      <c r="AO68" s="1186" t="str">
        <f>$I$65&amp;"."&amp;$M$68</f>
        <v>1.2</v>
      </c>
      <c r="AP68" s="1186" t="str">
        <f>$I$65&amp;"."&amp;$M$68&amp;"."&amp;$Q$68</f>
        <v>1.2.1</v>
      </c>
      <c r="AQ68" s="1186" t="str">
        <f>$I$65&amp;"."&amp;$M$68&amp;"."&amp;$Q$68&amp;"."&amp;$U$68</f>
        <v>1.2.1.1</v>
      </c>
      <c r="AR68" s="1869"/>
    </row>
    <row r="69" spans="1:44" ht="17.25" customHeight="1">
      <c r="A69" s="1747"/>
      <c r="B69" s="1869"/>
      <c r="C69" s="1752"/>
      <c r="D69" s="6669"/>
      <c r="E69" s="6670"/>
      <c r="F69" s="6648"/>
      <c r="G69" s="6661"/>
      <c r="H69" s="6669"/>
      <c r="I69" s="6669"/>
      <c r="J69" s="6687"/>
      <c r="K69" s="6691"/>
      <c r="L69" s="6611"/>
      <c r="M69" s="6611"/>
      <c r="N69" s="6683"/>
      <c r="O69" s="6689"/>
      <c r="P69" s="6611"/>
      <c r="Q69" s="6611"/>
      <c r="R69" s="6690" t="s">
        <v>24</v>
      </c>
      <c r="S69" s="6610"/>
      <c r="T69" s="241"/>
      <c r="U69" s="242"/>
      <c r="V69" s="242" t="s">
        <v>228</v>
      </c>
      <c r="W69" s="243"/>
      <c r="X69" s="1869"/>
      <c r="Y69" s="1179"/>
      <c r="Z69" s="1179"/>
      <c r="AA69" s="1179"/>
      <c r="AB69" s="1179"/>
      <c r="AC69" s="1179"/>
      <c r="AD69" s="1179"/>
      <c r="AE69" s="1179"/>
      <c r="AF69" s="1179"/>
      <c r="AG69" s="1179"/>
      <c r="AH69" s="1179"/>
      <c r="AI69" s="1179"/>
      <c r="AJ69" s="1179"/>
      <c r="AK69" s="1179"/>
      <c r="AL69" s="1869"/>
      <c r="AM69" s="1869"/>
      <c r="AN69" s="1869"/>
      <c r="AO69" s="1869"/>
      <c r="AP69" s="1869"/>
      <c r="AQ69" s="1869"/>
      <c r="AR69" s="1869"/>
    </row>
    <row r="70" spans="1:44" ht="17.25" customHeight="1">
      <c r="A70" s="1747"/>
      <c r="B70" s="1869"/>
      <c r="C70" s="1752"/>
      <c r="D70" s="6669"/>
      <c r="E70" s="6670"/>
      <c r="F70" s="6648"/>
      <c r="G70" s="6661"/>
      <c r="H70" s="6669"/>
      <c r="I70" s="6669"/>
      <c r="J70" s="6687"/>
      <c r="K70" s="6691"/>
      <c r="L70" s="6644"/>
      <c r="M70" s="6644"/>
      <c r="N70" s="6684"/>
      <c r="O70" s="6615"/>
      <c r="P70" s="241"/>
      <c r="Q70" s="242"/>
      <c r="R70" s="242" t="s">
        <v>229</v>
      </c>
      <c r="S70" s="1753"/>
      <c r="T70" s="1753"/>
      <c r="U70" s="1753"/>
      <c r="V70" s="1753"/>
      <c r="W70" s="243"/>
      <c r="X70" s="1869"/>
      <c r="Y70" s="1179"/>
      <c r="Z70" s="1179"/>
      <c r="AA70" s="1179"/>
      <c r="AB70" s="1179"/>
      <c r="AC70" s="1179"/>
      <c r="AD70" s="1179"/>
      <c r="AE70" s="1179"/>
      <c r="AF70" s="1179"/>
      <c r="AG70" s="1179"/>
      <c r="AH70" s="1179"/>
      <c r="AI70" s="1179"/>
      <c r="AJ70" s="1179"/>
      <c r="AK70" s="1179"/>
      <c r="AL70" s="1869"/>
      <c r="AM70" s="1869"/>
      <c r="AN70" s="1869"/>
      <c r="AO70" s="1869"/>
      <c r="AP70" s="1869"/>
      <c r="AQ70" s="1869"/>
      <c r="AR70" s="1869"/>
    </row>
    <row r="71" spans="1:44" ht="17.25" customHeight="1">
      <c r="A71" s="1747"/>
      <c r="B71" s="1869"/>
      <c r="C71" s="1749"/>
      <c r="D71" s="6669"/>
      <c r="E71" s="6670"/>
      <c r="F71" s="6648"/>
      <c r="G71" s="6661"/>
      <c r="H71" s="6669"/>
      <c r="I71" s="6669"/>
      <c r="J71" s="6687"/>
      <c r="K71" s="6691"/>
      <c r="L71" s="6611" t="s">
        <v>102</v>
      </c>
      <c r="M71" s="6611" t="s">
        <v>89</v>
      </c>
      <c r="N71" s="6683" t="str">
        <f>IF(Z71="","",INDEX(TERRITORY_MR_LIST,MATCH(Z71,TERRITORY_LIST_ID,0)))</f>
        <v>Территория 10</v>
      </c>
      <c r="O71" s="6688" t="s">
        <v>56</v>
      </c>
      <c r="P71" s="6611"/>
      <c r="Q71" s="6611" t="s">
        <v>178</v>
      </c>
      <c r="R71" s="6690" t="s">
        <v>24</v>
      </c>
      <c r="S71" s="6610" t="s">
        <v>56</v>
      </c>
      <c r="T71" s="1720"/>
      <c r="U71" s="1720" t="s">
        <v>178</v>
      </c>
      <c r="V71" s="1870" t="s">
        <v>24</v>
      </c>
      <c r="W71" s="1710"/>
      <c r="X71" s="1869"/>
      <c r="Y71" s="1186"/>
      <c r="Z71" s="1186" t="s">
        <v>139</v>
      </c>
      <c r="AA71" s="1186"/>
      <c r="AB71" s="1186"/>
      <c r="AC71" s="1871" t="s">
        <v>277</v>
      </c>
      <c r="AD71" s="1871" t="s">
        <v>278</v>
      </c>
      <c r="AE71" s="1186" t="s">
        <v>285</v>
      </c>
      <c r="AF71" s="1186" t="s">
        <v>286</v>
      </c>
      <c r="AG71" s="1186" t="s">
        <v>287</v>
      </c>
      <c r="AH71" s="1186" t="str">
        <f>IF($E$65=0,"",$E$65)</f>
        <v>Тарифы на теплоноситель, поставляемый теплоснабжающими организациями потребителям, другим теплоснабжающим организациям</v>
      </c>
      <c r="AI71" s="1186" t="str">
        <f>IF($G$65=0,"",$G$65)</f>
        <v>Производство. Теплоноситель, Передача. Теплоноситель, Сбыт. Теплоноситель</v>
      </c>
      <c r="AJ71" s="1186" t="str">
        <f>IF($J$65=0,"",$J$65)</f>
        <v>Тариф на теплоноситель, поставляемый потребителям</v>
      </c>
      <c r="AK71" s="1186" t="str">
        <f>IF($K$71="нет","без дифференциации",IF($N$71=0,"",$N$71))</f>
        <v>Территория 10</v>
      </c>
      <c r="AL71" s="1751" t="str">
        <f>IF($O$71="нет","без дифференциации",IF($R$71=0,"",$R$71))</f>
        <v>без дифференциации</v>
      </c>
      <c r="AM71" s="1751" t="str">
        <f>IF($S$71="нет","без дифференциации",IF($V$71=0,"",$V$71))</f>
        <v>без дифференциации</v>
      </c>
      <c r="AN71" s="1186">
        <f>$I$65</f>
        <v>1</v>
      </c>
      <c r="AO71" s="1186" t="str">
        <f>$I$65&amp;"."&amp;$M$71</f>
        <v>1.3</v>
      </c>
      <c r="AP71" s="1186" t="str">
        <f>$I$65&amp;"."&amp;$M$71&amp;"."&amp;$Q$71</f>
        <v>1.3.1</v>
      </c>
      <c r="AQ71" s="1186" t="str">
        <f>$I$65&amp;"."&amp;$M$71&amp;"."&amp;$Q$71&amp;"."&amp;$U$71</f>
        <v>1.3.1.1</v>
      </c>
      <c r="AR71" s="1869"/>
    </row>
    <row r="72" spans="1:44" ht="17.25" customHeight="1">
      <c r="A72" s="1747"/>
      <c r="B72" s="1869"/>
      <c r="C72" s="1752"/>
      <c r="D72" s="6669"/>
      <c r="E72" s="6670"/>
      <c r="F72" s="6648"/>
      <c r="G72" s="6661"/>
      <c r="H72" s="6669"/>
      <c r="I72" s="6669"/>
      <c r="J72" s="6687"/>
      <c r="K72" s="6691"/>
      <c r="L72" s="6611"/>
      <c r="M72" s="6611"/>
      <c r="N72" s="6683"/>
      <c r="O72" s="6689"/>
      <c r="P72" s="6611"/>
      <c r="Q72" s="6611"/>
      <c r="R72" s="6690" t="s">
        <v>24</v>
      </c>
      <c r="S72" s="6610"/>
      <c r="T72" s="241"/>
      <c r="U72" s="242"/>
      <c r="V72" s="242" t="s">
        <v>228</v>
      </c>
      <c r="W72" s="243"/>
      <c r="X72" s="1869"/>
      <c r="Y72" s="1179"/>
      <c r="Z72" s="1179"/>
      <c r="AA72" s="1179"/>
      <c r="AB72" s="1179"/>
      <c r="AC72" s="1179"/>
      <c r="AD72" s="1179"/>
      <c r="AE72" s="1179"/>
      <c r="AF72" s="1179"/>
      <c r="AG72" s="1179"/>
      <c r="AH72" s="1179"/>
      <c r="AI72" s="1179"/>
      <c r="AJ72" s="1179"/>
      <c r="AK72" s="1179"/>
      <c r="AL72" s="1869"/>
      <c r="AM72" s="1869"/>
      <c r="AN72" s="1869"/>
      <c r="AO72" s="1869"/>
      <c r="AP72" s="1869"/>
      <c r="AQ72" s="1869"/>
      <c r="AR72" s="1869"/>
    </row>
    <row r="73" spans="1:44" ht="17.25" customHeight="1">
      <c r="A73" s="1747"/>
      <c r="B73" s="1869"/>
      <c r="C73" s="1752"/>
      <c r="D73" s="6669"/>
      <c r="E73" s="6670"/>
      <c r="F73" s="6648"/>
      <c r="G73" s="6661"/>
      <c r="H73" s="6669"/>
      <c r="I73" s="6669"/>
      <c r="J73" s="6687"/>
      <c r="K73" s="6691"/>
      <c r="L73" s="6644"/>
      <c r="M73" s="6644"/>
      <c r="N73" s="6684"/>
      <c r="O73" s="6615"/>
      <c r="P73" s="241"/>
      <c r="Q73" s="242"/>
      <c r="R73" s="242" t="s">
        <v>229</v>
      </c>
      <c r="S73" s="1753"/>
      <c r="T73" s="1753"/>
      <c r="U73" s="1753"/>
      <c r="V73" s="1753"/>
      <c r="W73" s="243"/>
      <c r="X73" s="1869"/>
      <c r="Y73" s="1179"/>
      <c r="Z73" s="1179"/>
      <c r="AA73" s="1179"/>
      <c r="AB73" s="1179"/>
      <c r="AC73" s="1179"/>
      <c r="AD73" s="1179"/>
      <c r="AE73" s="1179"/>
      <c r="AF73" s="1179"/>
      <c r="AG73" s="1179"/>
      <c r="AH73" s="1179"/>
      <c r="AI73" s="1179"/>
      <c r="AJ73" s="1179"/>
      <c r="AK73" s="1179"/>
      <c r="AL73" s="1869"/>
      <c r="AM73" s="1869"/>
      <c r="AN73" s="1869"/>
      <c r="AO73" s="1869"/>
      <c r="AP73" s="1869"/>
      <c r="AQ73" s="1869"/>
      <c r="AR73" s="1869"/>
    </row>
    <row r="74" spans="1:44" ht="17.25" customHeight="1">
      <c r="A74" s="1747"/>
      <c r="B74" s="1869"/>
      <c r="C74" s="1749"/>
      <c r="D74" s="6669"/>
      <c r="E74" s="6670"/>
      <c r="F74" s="6648"/>
      <c r="G74" s="6661"/>
      <c r="H74" s="6669"/>
      <c r="I74" s="6669"/>
      <c r="J74" s="6687"/>
      <c r="K74" s="6691"/>
      <c r="L74" s="6611" t="s">
        <v>102</v>
      </c>
      <c r="M74" s="6611" t="s">
        <v>90</v>
      </c>
      <c r="N74" s="6683" t="str">
        <f>IF(Z74="","",INDEX(TERRITORY_MR_LIST,MATCH(Z74,TERRITORY_LIST_ID,0)))</f>
        <v>Территория 13</v>
      </c>
      <c r="O74" s="6688" t="s">
        <v>56</v>
      </c>
      <c r="P74" s="6611"/>
      <c r="Q74" s="6611" t="s">
        <v>178</v>
      </c>
      <c r="R74" s="6690" t="s">
        <v>24</v>
      </c>
      <c r="S74" s="6610" t="s">
        <v>56</v>
      </c>
      <c r="T74" s="1720"/>
      <c r="U74" s="1720" t="s">
        <v>178</v>
      </c>
      <c r="V74" s="1870" t="s">
        <v>24</v>
      </c>
      <c r="W74" s="1710"/>
      <c r="X74" s="1869"/>
      <c r="Y74" s="1186"/>
      <c r="Z74" s="1186" t="s">
        <v>153</v>
      </c>
      <c r="AA74" s="1186"/>
      <c r="AB74" s="1186"/>
      <c r="AC74" s="1871" t="s">
        <v>277</v>
      </c>
      <c r="AD74" s="1871" t="s">
        <v>278</v>
      </c>
      <c r="AE74" s="1186" t="s">
        <v>288</v>
      </c>
      <c r="AF74" s="1186" t="s">
        <v>289</v>
      </c>
      <c r="AG74" s="1186" t="s">
        <v>290</v>
      </c>
      <c r="AH74" s="1186" t="str">
        <f>IF($E$65=0,"",$E$65)</f>
        <v>Тарифы на теплоноситель, поставляемый теплоснабжающими организациями потребителям, другим теплоснабжающим организациям</v>
      </c>
      <c r="AI74" s="1186" t="str">
        <f>IF($G$65=0,"",$G$65)</f>
        <v>Производство. Теплоноситель, Передача. Теплоноситель, Сбыт. Теплоноситель</v>
      </c>
      <c r="AJ74" s="1186" t="str">
        <f>IF($J$65=0,"",$J$65)</f>
        <v>Тариф на теплоноситель, поставляемый потребителям</v>
      </c>
      <c r="AK74" s="1186" t="str">
        <f>IF($K$74="нет","без дифференциации",IF($N$74=0,"",$N$74))</f>
        <v>Территория 13</v>
      </c>
      <c r="AL74" s="1751" t="str">
        <f>IF($O$74="нет","без дифференциации",IF($R$74=0,"",$R$74))</f>
        <v>без дифференциации</v>
      </c>
      <c r="AM74" s="1751" t="str">
        <f>IF($S$74="нет","без дифференциации",IF($V$74=0,"",$V$74))</f>
        <v>без дифференциации</v>
      </c>
      <c r="AN74" s="1186">
        <f>$I$65</f>
        <v>1</v>
      </c>
      <c r="AO74" s="1186" t="str">
        <f>$I$65&amp;"."&amp;$M$74</f>
        <v>1.4</v>
      </c>
      <c r="AP74" s="1186" t="str">
        <f>$I$65&amp;"."&amp;$M$74&amp;"."&amp;$Q$74</f>
        <v>1.4.1</v>
      </c>
      <c r="AQ74" s="1186" t="str">
        <f>$I$65&amp;"."&amp;$M$74&amp;"."&amp;$Q$74&amp;"."&amp;$U$74</f>
        <v>1.4.1.1</v>
      </c>
      <c r="AR74" s="1869"/>
    </row>
    <row r="75" spans="1:44" ht="17.25" customHeight="1">
      <c r="A75" s="1747"/>
      <c r="B75" s="1869"/>
      <c r="C75" s="1752"/>
      <c r="D75" s="6669"/>
      <c r="E75" s="6670"/>
      <c r="F75" s="6648"/>
      <c r="G75" s="6661"/>
      <c r="H75" s="6669"/>
      <c r="I75" s="6669"/>
      <c r="J75" s="6687"/>
      <c r="K75" s="6691"/>
      <c r="L75" s="6611"/>
      <c r="M75" s="6611"/>
      <c r="N75" s="6683"/>
      <c r="O75" s="6689"/>
      <c r="P75" s="6611"/>
      <c r="Q75" s="6611"/>
      <c r="R75" s="6690" t="s">
        <v>24</v>
      </c>
      <c r="S75" s="6610"/>
      <c r="T75" s="241"/>
      <c r="U75" s="242"/>
      <c r="V75" s="242" t="s">
        <v>228</v>
      </c>
      <c r="W75" s="243"/>
      <c r="X75" s="1869"/>
      <c r="Y75" s="1179"/>
      <c r="Z75" s="1179"/>
      <c r="AA75" s="1179"/>
      <c r="AB75" s="1179"/>
      <c r="AC75" s="1179"/>
      <c r="AD75" s="1179"/>
      <c r="AE75" s="1179"/>
      <c r="AF75" s="1179"/>
      <c r="AG75" s="1179"/>
      <c r="AH75" s="1179"/>
      <c r="AI75" s="1179"/>
      <c r="AJ75" s="1179"/>
      <c r="AK75" s="1179"/>
      <c r="AL75" s="1869"/>
      <c r="AM75" s="1869"/>
      <c r="AN75" s="1869"/>
      <c r="AO75" s="1869"/>
      <c r="AP75" s="1869"/>
      <c r="AQ75" s="1869"/>
      <c r="AR75" s="1869"/>
    </row>
    <row r="76" spans="1:44" ht="17.25" customHeight="1">
      <c r="A76" s="1747"/>
      <c r="B76" s="1869"/>
      <c r="C76" s="1752"/>
      <c r="D76" s="6669"/>
      <c r="E76" s="6670"/>
      <c r="F76" s="6648"/>
      <c r="G76" s="6661"/>
      <c r="H76" s="6669"/>
      <c r="I76" s="6669"/>
      <c r="J76" s="6687"/>
      <c r="K76" s="6691"/>
      <c r="L76" s="6644"/>
      <c r="M76" s="6644"/>
      <c r="N76" s="6684"/>
      <c r="O76" s="6615"/>
      <c r="P76" s="241"/>
      <c r="Q76" s="242"/>
      <c r="R76" s="242" t="s">
        <v>229</v>
      </c>
      <c r="S76" s="1753"/>
      <c r="T76" s="1753"/>
      <c r="U76" s="1753"/>
      <c r="V76" s="1753"/>
      <c r="W76" s="243"/>
      <c r="X76" s="1869"/>
      <c r="Y76" s="1179"/>
      <c r="Z76" s="1179"/>
      <c r="AA76" s="1179"/>
      <c r="AB76" s="1179"/>
      <c r="AC76" s="1179"/>
      <c r="AD76" s="1179"/>
      <c r="AE76" s="1179"/>
      <c r="AF76" s="1179"/>
      <c r="AG76" s="1179"/>
      <c r="AH76" s="1179"/>
      <c r="AI76" s="1179"/>
      <c r="AJ76" s="1179"/>
      <c r="AK76" s="1179"/>
      <c r="AL76" s="1869"/>
      <c r="AM76" s="1869"/>
      <c r="AN76" s="1869"/>
      <c r="AO76" s="1869"/>
      <c r="AP76" s="1869"/>
      <c r="AQ76" s="1869"/>
      <c r="AR76" s="1869"/>
    </row>
    <row r="77" spans="1:44" s="1852" customFormat="1" ht="17.25" customHeight="1">
      <c r="A77" s="245"/>
      <c r="C77" s="244"/>
      <c r="D77" s="6644"/>
      <c r="E77" s="6646"/>
      <c r="F77" s="6648"/>
      <c r="G77" s="6660"/>
      <c r="H77" s="6644"/>
      <c r="I77" s="6644"/>
      <c r="J77" s="6686"/>
      <c r="K77" s="6615"/>
      <c r="L77" s="1912"/>
      <c r="M77" s="1913"/>
      <c r="N77" s="1914" t="s">
        <v>272</v>
      </c>
      <c r="O77" s="1915"/>
      <c r="P77" s="1916"/>
      <c r="Q77" s="1917"/>
      <c r="R77" s="1918"/>
      <c r="S77" s="1919"/>
      <c r="T77" s="1920"/>
      <c r="U77" s="1921"/>
      <c r="V77" s="1922"/>
      <c r="W77" s="1923"/>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4" s="1852" customFormat="1" ht="17.25" customHeight="1">
      <c r="A78" s="245"/>
      <c r="C78" s="244"/>
      <c r="D78" s="6644"/>
      <c r="E78" s="6646"/>
      <c r="F78" s="6649"/>
      <c r="G78" s="6660"/>
      <c r="H78" s="1924"/>
      <c r="I78" s="1925"/>
      <c r="J78" s="1926" t="s">
        <v>273</v>
      </c>
      <c r="K78" s="1927"/>
      <c r="L78" s="1928"/>
      <c r="M78" s="1929"/>
      <c r="N78" s="1930"/>
      <c r="O78" s="1931"/>
      <c r="P78" s="1932"/>
      <c r="Q78" s="1933"/>
      <c r="R78" s="1934"/>
      <c r="S78" s="1935"/>
      <c r="T78" s="1936"/>
      <c r="U78" s="1937"/>
      <c r="V78" s="1938"/>
      <c r="W78" s="1939"/>
      <c r="X78" s="1179"/>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4" s="1852" customFormat="1" ht="17.25" customHeight="1">
      <c r="A79" s="245"/>
      <c r="C79" s="130"/>
      <c r="D79" s="6643">
        <v>4</v>
      </c>
      <c r="E79" s="6645" t="s">
        <v>291</v>
      </c>
      <c r="F79" s="6647" t="s">
        <v>61</v>
      </c>
      <c r="G79" s="6659" t="str">
        <f>"Производство. Теплоноситель"&amp;", "&amp;INDEX(HEAT_PT_VED_NAME,MATCH(4190069,HEAT_PT_VED_ID,0))</f>
        <v>Производство. Теплоноситель, Передача. Теплоноситель</v>
      </c>
      <c r="H79" s="6682"/>
      <c r="I79" s="6682">
        <v>1</v>
      </c>
      <c r="J79" s="6685" t="s">
        <v>292</v>
      </c>
      <c r="K79" s="6688" t="s">
        <v>61</v>
      </c>
      <c r="L79" s="6611"/>
      <c r="M79" s="6611" t="s">
        <v>178</v>
      </c>
      <c r="N79" s="6683" t="str">
        <f>IF(Z79="","",INDEX(TERRITORY_MR_LIST,MATCH(Z79,TERRITORY_LIST_ID,0)))</f>
        <v>Территория 3</v>
      </c>
      <c r="O79" s="6688" t="s">
        <v>56</v>
      </c>
      <c r="P79" s="6611"/>
      <c r="Q79" s="6611" t="s">
        <v>178</v>
      </c>
      <c r="R79" s="6690" t="s">
        <v>24</v>
      </c>
      <c r="S79" s="6610" t="s">
        <v>56</v>
      </c>
      <c r="T79" s="1854"/>
      <c r="U79" s="1854" t="s">
        <v>178</v>
      </c>
      <c r="V79" s="1855" t="s">
        <v>24</v>
      </c>
      <c r="W79" s="1853"/>
      <c r="X79" s="1186"/>
      <c r="Y79" s="1186"/>
      <c r="Z79" s="1186" t="s">
        <v>107</v>
      </c>
      <c r="AA79" s="1186"/>
      <c r="AB79" s="1186" t="s">
        <v>293</v>
      </c>
      <c r="AC79" s="1186" t="s">
        <v>294</v>
      </c>
      <c r="AD79" s="1186" t="s">
        <v>295</v>
      </c>
      <c r="AE79" s="1186" t="s">
        <v>296</v>
      </c>
      <c r="AF79" s="1186" t="s">
        <v>297</v>
      </c>
      <c r="AG79" s="1186" t="s">
        <v>298</v>
      </c>
      <c r="AH79" s="1186" t="str">
        <f>IF($E$79=0,"",$E$79)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9" s="1186" t="str">
        <f>IF($G$79=0,"",$G$79)</f>
        <v>Производство. Теплоноситель, Передача. Теплоноситель</v>
      </c>
      <c r="AJ79" s="1186" t="str">
        <f>IF($J$79=0,"",$J$79)</f>
        <v>Тариф на горячую воду, поставляемую потребителям в открытой системе теплоснабжения (горячее водоснабжение)</v>
      </c>
      <c r="AK79" s="1186" t="str">
        <f>IF($K$79="нет","без дифференциации",IF($N$79=0,"",$N$79))</f>
        <v>Территория 3</v>
      </c>
      <c r="AL79" s="1186" t="str">
        <f>IF($O$79="нет","без дифференциации",IF($R$79=0,"",$R$79))</f>
        <v>без дифференциации</v>
      </c>
      <c r="AM79" s="1186" t="str">
        <f>IF($S$79="нет","без дифференциации",IF($V$79=0,"",$V$79))</f>
        <v>без дифференциации</v>
      </c>
      <c r="AN79" s="1681">
        <f>$I$79</f>
        <v>1</v>
      </c>
      <c r="AO79" s="1186" t="str">
        <f>$I$79&amp;"."&amp;$M$79</f>
        <v>1.1</v>
      </c>
      <c r="AP79" s="1179" t="str">
        <f>$I$79&amp;"."&amp;$M$79&amp;"."&amp;$Q$79</f>
        <v>1.1.1</v>
      </c>
      <c r="AQ79" s="1179" t="str">
        <f>$I$79&amp;"."&amp;$M$79&amp;"."&amp;$Q$79&amp;"."&amp;$U$79</f>
        <v>1.1.1.1</v>
      </c>
    </row>
    <row r="80" spans="1:44" s="1852" customFormat="1" ht="17.25" customHeight="1">
      <c r="A80" s="245"/>
      <c r="C80" s="244"/>
      <c r="D80" s="6643"/>
      <c r="E80" s="6645"/>
      <c r="F80" s="6648"/>
      <c r="G80" s="6659"/>
      <c r="H80" s="6682"/>
      <c r="I80" s="6682"/>
      <c r="J80" s="6685"/>
      <c r="K80" s="6689"/>
      <c r="L80" s="6611"/>
      <c r="M80" s="6611"/>
      <c r="N80" s="6683"/>
      <c r="O80" s="6689"/>
      <c r="P80" s="6611"/>
      <c r="Q80" s="6611"/>
      <c r="R80" s="6690" t="s">
        <v>24</v>
      </c>
      <c r="S80" s="6610"/>
      <c r="T80" s="1940"/>
      <c r="U80" s="1941"/>
      <c r="V80" s="1942" t="s">
        <v>228</v>
      </c>
      <c r="W80" s="1943"/>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4" s="1852" customFormat="1" ht="17.25" customHeight="1">
      <c r="A81" s="245"/>
      <c r="C81" s="244"/>
      <c r="D81" s="6644"/>
      <c r="E81" s="6646"/>
      <c r="F81" s="6648"/>
      <c r="G81" s="6660"/>
      <c r="H81" s="6644"/>
      <c r="I81" s="6644"/>
      <c r="J81" s="6686"/>
      <c r="K81" s="6689"/>
      <c r="L81" s="6644"/>
      <c r="M81" s="6644"/>
      <c r="N81" s="6684"/>
      <c r="O81" s="6615"/>
      <c r="P81" s="1944"/>
      <c r="Q81" s="1945"/>
      <c r="R81" s="1946" t="s">
        <v>229</v>
      </c>
      <c r="S81" s="1947"/>
      <c r="T81" s="1948"/>
      <c r="U81" s="1949"/>
      <c r="V81" s="1950"/>
      <c r="W81" s="1951"/>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4" ht="17.25" customHeight="1">
      <c r="A82" s="1747"/>
      <c r="B82" s="1869"/>
      <c r="C82" s="1749"/>
      <c r="D82" s="6669"/>
      <c r="E82" s="6670"/>
      <c r="F82" s="6648"/>
      <c r="G82" s="6661"/>
      <c r="H82" s="6669"/>
      <c r="I82" s="6669"/>
      <c r="J82" s="6687"/>
      <c r="K82" s="6691"/>
      <c r="L82" s="6611" t="s">
        <v>102</v>
      </c>
      <c r="M82" s="6611" t="s">
        <v>98</v>
      </c>
      <c r="N82" s="6683" t="str">
        <f>IF(Z82="","",INDEX(TERRITORY_MR_LIST,MATCH(Z82,TERRITORY_LIST_ID,0)))</f>
        <v>Территория 7</v>
      </c>
      <c r="O82" s="6688" t="s">
        <v>56</v>
      </c>
      <c r="P82" s="6611"/>
      <c r="Q82" s="6611" t="s">
        <v>178</v>
      </c>
      <c r="R82" s="6690" t="s">
        <v>24</v>
      </c>
      <c r="S82" s="6610" t="s">
        <v>56</v>
      </c>
      <c r="T82" s="1720"/>
      <c r="U82" s="1720" t="s">
        <v>178</v>
      </c>
      <c r="V82" s="1870" t="s">
        <v>24</v>
      </c>
      <c r="W82" s="1710"/>
      <c r="X82" s="1869"/>
      <c r="Y82" s="1186"/>
      <c r="Z82" s="1186" t="s">
        <v>124</v>
      </c>
      <c r="AA82" s="1186"/>
      <c r="AB82" s="1186"/>
      <c r="AC82" s="1871" t="s">
        <v>294</v>
      </c>
      <c r="AD82" s="1871" t="s">
        <v>295</v>
      </c>
      <c r="AE82" s="1186" t="s">
        <v>299</v>
      </c>
      <c r="AF82" s="1186" t="s">
        <v>300</v>
      </c>
      <c r="AG82" s="1186" t="s">
        <v>301</v>
      </c>
      <c r="AH82" s="1186" t="str">
        <f>IF($E$79=0,"",$E$79)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2" s="1186" t="str">
        <f>IF($G$79=0,"",$G$79)</f>
        <v>Производство. Теплоноситель, Передача. Теплоноситель</v>
      </c>
      <c r="AJ82" s="1186" t="str">
        <f>IF($J$79=0,"",$J$79)</f>
        <v>Тариф на горячую воду, поставляемую потребителям в открытой системе теплоснабжения (горячее водоснабжение)</v>
      </c>
      <c r="AK82" s="1186" t="str">
        <f>IF($K$82="нет","без дифференциации",IF($N$82=0,"",$N$82))</f>
        <v>Территория 7</v>
      </c>
      <c r="AL82" s="1751" t="str">
        <f>IF($O$82="нет","без дифференциации",IF($R$82=0,"",$R$82))</f>
        <v>без дифференциации</v>
      </c>
      <c r="AM82" s="1751" t="str">
        <f>IF($S$82="нет","без дифференциации",IF($V$82=0,"",$V$82))</f>
        <v>без дифференциации</v>
      </c>
      <c r="AN82" s="1186">
        <f>$I$79</f>
        <v>1</v>
      </c>
      <c r="AO82" s="1186" t="str">
        <f>$I$79&amp;"."&amp;$M$82</f>
        <v>1.2</v>
      </c>
      <c r="AP82" s="1186" t="str">
        <f>$I$79&amp;"."&amp;$M$82&amp;"."&amp;$Q$82</f>
        <v>1.2.1</v>
      </c>
      <c r="AQ82" s="1186" t="str">
        <f>$I$79&amp;"."&amp;$M$82&amp;"."&amp;$Q$82&amp;"."&amp;$U$82</f>
        <v>1.2.1.1</v>
      </c>
      <c r="AR82" s="1869"/>
    </row>
    <row r="83" spans="1:44" ht="17.25" customHeight="1">
      <c r="A83" s="1747"/>
      <c r="B83" s="1869"/>
      <c r="C83" s="1752"/>
      <c r="D83" s="6669"/>
      <c r="E83" s="6670"/>
      <c r="F83" s="6648"/>
      <c r="G83" s="6661"/>
      <c r="H83" s="6669"/>
      <c r="I83" s="6669"/>
      <c r="J83" s="6687"/>
      <c r="K83" s="6691"/>
      <c r="L83" s="6611"/>
      <c r="M83" s="6611"/>
      <c r="N83" s="6683"/>
      <c r="O83" s="6689"/>
      <c r="P83" s="6611"/>
      <c r="Q83" s="6611"/>
      <c r="R83" s="6690" t="s">
        <v>24</v>
      </c>
      <c r="S83" s="6610"/>
      <c r="T83" s="241"/>
      <c r="U83" s="242"/>
      <c r="V83" s="242" t="s">
        <v>228</v>
      </c>
      <c r="W83" s="243"/>
      <c r="X83" s="1869"/>
      <c r="Y83" s="1179"/>
      <c r="Z83" s="1179"/>
      <c r="AA83" s="1179"/>
      <c r="AB83" s="1179"/>
      <c r="AC83" s="1179"/>
      <c r="AD83" s="1179"/>
      <c r="AE83" s="1179"/>
      <c r="AF83" s="1179"/>
      <c r="AG83" s="1179"/>
      <c r="AH83" s="1179"/>
      <c r="AI83" s="1179"/>
      <c r="AJ83" s="1179"/>
      <c r="AK83" s="1179"/>
      <c r="AL83" s="1869"/>
      <c r="AM83" s="1869"/>
      <c r="AN83" s="1869"/>
      <c r="AO83" s="1869"/>
      <c r="AP83" s="1869"/>
      <c r="AQ83" s="1869"/>
      <c r="AR83" s="1869"/>
    </row>
    <row r="84" spans="1:44" ht="17.25" customHeight="1">
      <c r="A84" s="1747"/>
      <c r="B84" s="1869"/>
      <c r="C84" s="1752"/>
      <c r="D84" s="6669"/>
      <c r="E84" s="6670"/>
      <c r="F84" s="6648"/>
      <c r="G84" s="6661"/>
      <c r="H84" s="6669"/>
      <c r="I84" s="6669"/>
      <c r="J84" s="6687"/>
      <c r="K84" s="6691"/>
      <c r="L84" s="6644"/>
      <c r="M84" s="6644"/>
      <c r="N84" s="6684"/>
      <c r="O84" s="6615"/>
      <c r="P84" s="241"/>
      <c r="Q84" s="242"/>
      <c r="R84" s="242" t="s">
        <v>229</v>
      </c>
      <c r="S84" s="1753"/>
      <c r="T84" s="1753"/>
      <c r="U84" s="1753"/>
      <c r="V84" s="1753"/>
      <c r="W84" s="243"/>
      <c r="X84" s="1869"/>
      <c r="Y84" s="1179"/>
      <c r="Z84" s="1179"/>
      <c r="AA84" s="1179"/>
      <c r="AB84" s="1179"/>
      <c r="AC84" s="1179"/>
      <c r="AD84" s="1179"/>
      <c r="AE84" s="1179"/>
      <c r="AF84" s="1179"/>
      <c r="AG84" s="1179"/>
      <c r="AH84" s="1179"/>
      <c r="AI84" s="1179"/>
      <c r="AJ84" s="1179"/>
      <c r="AK84" s="1179"/>
      <c r="AL84" s="1869"/>
      <c r="AM84" s="1869"/>
      <c r="AN84" s="1869"/>
      <c r="AO84" s="1869"/>
      <c r="AP84" s="1869"/>
      <c r="AQ84" s="1869"/>
      <c r="AR84" s="1869"/>
    </row>
    <row r="85" spans="1:44" ht="17.25" customHeight="1">
      <c r="A85" s="1747"/>
      <c r="B85" s="1869"/>
      <c r="C85" s="1749"/>
      <c r="D85" s="6669"/>
      <c r="E85" s="6670"/>
      <c r="F85" s="6648"/>
      <c r="G85" s="6661"/>
      <c r="H85" s="6669"/>
      <c r="I85" s="6669"/>
      <c r="J85" s="6687"/>
      <c r="K85" s="6691"/>
      <c r="L85" s="6611" t="s">
        <v>102</v>
      </c>
      <c r="M85" s="6611" t="s">
        <v>89</v>
      </c>
      <c r="N85" s="6683" t="str">
        <f>IF(Z85="","",INDEX(TERRITORY_MR_LIST,MATCH(Z85,TERRITORY_LIST_ID,0)))</f>
        <v>Территория 10</v>
      </c>
      <c r="O85" s="6688" t="s">
        <v>56</v>
      </c>
      <c r="P85" s="6611"/>
      <c r="Q85" s="6611" t="s">
        <v>178</v>
      </c>
      <c r="R85" s="6690" t="s">
        <v>24</v>
      </c>
      <c r="S85" s="6610" t="s">
        <v>56</v>
      </c>
      <c r="T85" s="1720"/>
      <c r="U85" s="1720" t="s">
        <v>178</v>
      </c>
      <c r="V85" s="1870" t="s">
        <v>24</v>
      </c>
      <c r="W85" s="1710"/>
      <c r="X85" s="1869"/>
      <c r="Y85" s="1186"/>
      <c r="Z85" s="1186" t="s">
        <v>139</v>
      </c>
      <c r="AA85" s="1186"/>
      <c r="AB85" s="1186"/>
      <c r="AC85" s="1871" t="s">
        <v>294</v>
      </c>
      <c r="AD85" s="1871" t="s">
        <v>295</v>
      </c>
      <c r="AE85" s="1186" t="s">
        <v>302</v>
      </c>
      <c r="AF85" s="1186" t="s">
        <v>303</v>
      </c>
      <c r="AG85" s="1186" t="s">
        <v>304</v>
      </c>
      <c r="AH85" s="1186" t="str">
        <f>IF($E$79=0,"",$E$79)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5" s="1186" t="str">
        <f>IF($G$79=0,"",$G$79)</f>
        <v>Производство. Теплоноситель, Передача. Теплоноситель</v>
      </c>
      <c r="AJ85" s="1186" t="str">
        <f>IF($J$79=0,"",$J$79)</f>
        <v>Тариф на горячую воду, поставляемую потребителям в открытой системе теплоснабжения (горячее водоснабжение)</v>
      </c>
      <c r="AK85" s="1186" t="str">
        <f>IF($K$85="нет","без дифференциации",IF($N$85=0,"",$N$85))</f>
        <v>Территория 10</v>
      </c>
      <c r="AL85" s="1751" t="str">
        <f>IF($O$85="нет","без дифференциации",IF($R$85=0,"",$R$85))</f>
        <v>без дифференциации</v>
      </c>
      <c r="AM85" s="1751" t="str">
        <f>IF($S$85="нет","без дифференциации",IF($V$85=0,"",$V$85))</f>
        <v>без дифференциации</v>
      </c>
      <c r="AN85" s="1186">
        <f>$I$79</f>
        <v>1</v>
      </c>
      <c r="AO85" s="1186" t="str">
        <f>$I$79&amp;"."&amp;$M$85</f>
        <v>1.3</v>
      </c>
      <c r="AP85" s="1186" t="str">
        <f>$I$79&amp;"."&amp;$M$85&amp;"."&amp;$Q$85</f>
        <v>1.3.1</v>
      </c>
      <c r="AQ85" s="1186" t="str">
        <f>$I$79&amp;"."&amp;$M$85&amp;"."&amp;$Q$85&amp;"."&amp;$U$85</f>
        <v>1.3.1.1</v>
      </c>
      <c r="AR85" s="1869"/>
    </row>
    <row r="86" spans="1:44" ht="17.25" customHeight="1">
      <c r="A86" s="1747"/>
      <c r="B86" s="1869"/>
      <c r="C86" s="1752"/>
      <c r="D86" s="6669"/>
      <c r="E86" s="6670"/>
      <c r="F86" s="6648"/>
      <c r="G86" s="6661"/>
      <c r="H86" s="6669"/>
      <c r="I86" s="6669"/>
      <c r="J86" s="6687"/>
      <c r="K86" s="6691"/>
      <c r="L86" s="6611"/>
      <c r="M86" s="6611"/>
      <c r="N86" s="6683"/>
      <c r="O86" s="6689"/>
      <c r="P86" s="6611"/>
      <c r="Q86" s="6611"/>
      <c r="R86" s="6690" t="s">
        <v>24</v>
      </c>
      <c r="S86" s="6610"/>
      <c r="T86" s="241"/>
      <c r="U86" s="242"/>
      <c r="V86" s="242" t="s">
        <v>228</v>
      </c>
      <c r="W86" s="243"/>
      <c r="X86" s="1869"/>
      <c r="Y86" s="1179"/>
      <c r="Z86" s="1179"/>
      <c r="AA86" s="1179"/>
      <c r="AB86" s="1179"/>
      <c r="AC86" s="1179"/>
      <c r="AD86" s="1179"/>
      <c r="AE86" s="1179"/>
      <c r="AF86" s="1179"/>
      <c r="AG86" s="1179"/>
      <c r="AH86" s="1179"/>
      <c r="AI86" s="1179"/>
      <c r="AJ86" s="1179"/>
      <c r="AK86" s="1179"/>
      <c r="AL86" s="1869"/>
      <c r="AM86" s="1869"/>
      <c r="AN86" s="1869"/>
      <c r="AO86" s="1869"/>
      <c r="AP86" s="1869"/>
      <c r="AQ86" s="1869"/>
      <c r="AR86" s="1869"/>
    </row>
    <row r="87" spans="1:44" ht="17.25" customHeight="1">
      <c r="A87" s="1747"/>
      <c r="B87" s="1869"/>
      <c r="C87" s="1752"/>
      <c r="D87" s="6669"/>
      <c r="E87" s="6670"/>
      <c r="F87" s="6648"/>
      <c r="G87" s="6661"/>
      <c r="H87" s="6669"/>
      <c r="I87" s="6669"/>
      <c r="J87" s="6687"/>
      <c r="K87" s="6691"/>
      <c r="L87" s="6644"/>
      <c r="M87" s="6644"/>
      <c r="N87" s="6684"/>
      <c r="O87" s="6615"/>
      <c r="P87" s="241"/>
      <c r="Q87" s="242"/>
      <c r="R87" s="242" t="s">
        <v>229</v>
      </c>
      <c r="S87" s="1753"/>
      <c r="T87" s="1753"/>
      <c r="U87" s="1753"/>
      <c r="V87" s="1753"/>
      <c r="W87" s="243"/>
      <c r="X87" s="1869"/>
      <c r="Y87" s="1179"/>
      <c r="Z87" s="1179"/>
      <c r="AA87" s="1179"/>
      <c r="AB87" s="1179"/>
      <c r="AC87" s="1179"/>
      <c r="AD87" s="1179"/>
      <c r="AE87" s="1179"/>
      <c r="AF87" s="1179"/>
      <c r="AG87" s="1179"/>
      <c r="AH87" s="1179"/>
      <c r="AI87" s="1179"/>
      <c r="AJ87" s="1179"/>
      <c r="AK87" s="1179"/>
      <c r="AL87" s="1869"/>
      <c r="AM87" s="1869"/>
      <c r="AN87" s="1869"/>
      <c r="AO87" s="1869"/>
      <c r="AP87" s="1869"/>
      <c r="AQ87" s="1869"/>
      <c r="AR87" s="1869"/>
    </row>
    <row r="88" spans="1:44" ht="17.25" customHeight="1">
      <c r="A88" s="1747"/>
      <c r="B88" s="1869"/>
      <c r="C88" s="1749"/>
      <c r="D88" s="6669"/>
      <c r="E88" s="6670"/>
      <c r="F88" s="6648"/>
      <c r="G88" s="6661"/>
      <c r="H88" s="6669"/>
      <c r="I88" s="6669"/>
      <c r="J88" s="6687"/>
      <c r="K88" s="6691"/>
      <c r="L88" s="6611" t="s">
        <v>102</v>
      </c>
      <c r="M88" s="6611" t="s">
        <v>90</v>
      </c>
      <c r="N88" s="6683" t="str">
        <f>IF(Z88="","",INDEX(TERRITORY_MR_LIST,MATCH(Z88,TERRITORY_LIST_ID,0)))</f>
        <v>Территория 13</v>
      </c>
      <c r="O88" s="6688" t="s">
        <v>56</v>
      </c>
      <c r="P88" s="6611"/>
      <c r="Q88" s="6611" t="s">
        <v>178</v>
      </c>
      <c r="R88" s="6690" t="s">
        <v>24</v>
      </c>
      <c r="S88" s="6610" t="s">
        <v>56</v>
      </c>
      <c r="T88" s="1720"/>
      <c r="U88" s="1720" t="s">
        <v>178</v>
      </c>
      <c r="V88" s="1870" t="s">
        <v>24</v>
      </c>
      <c r="W88" s="1710"/>
      <c r="X88" s="1869"/>
      <c r="Y88" s="1186"/>
      <c r="Z88" s="1186" t="s">
        <v>153</v>
      </c>
      <c r="AA88" s="1186"/>
      <c r="AB88" s="1186"/>
      <c r="AC88" s="1871" t="s">
        <v>294</v>
      </c>
      <c r="AD88" s="1871" t="s">
        <v>295</v>
      </c>
      <c r="AE88" s="1186" t="s">
        <v>305</v>
      </c>
      <c r="AF88" s="1186" t="s">
        <v>306</v>
      </c>
      <c r="AG88" s="1186" t="s">
        <v>307</v>
      </c>
      <c r="AH88" s="1186" t="str">
        <f>IF($E$79=0,"",$E$79)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8" s="1186" t="str">
        <f>IF($G$79=0,"",$G$79)</f>
        <v>Производство. Теплоноситель, Передача. Теплоноситель</v>
      </c>
      <c r="AJ88" s="1186" t="str">
        <f>IF($J$79=0,"",$J$79)</f>
        <v>Тариф на горячую воду, поставляемую потребителям в открытой системе теплоснабжения (горячее водоснабжение)</v>
      </c>
      <c r="AK88" s="1186" t="str">
        <f>IF($K$88="нет","без дифференциации",IF($N$88=0,"",$N$88))</f>
        <v>Территория 13</v>
      </c>
      <c r="AL88" s="1751" t="str">
        <f>IF($O$88="нет","без дифференциации",IF($R$88=0,"",$R$88))</f>
        <v>без дифференциации</v>
      </c>
      <c r="AM88" s="1751" t="str">
        <f>IF($S$88="нет","без дифференциации",IF($V$88=0,"",$V$88))</f>
        <v>без дифференциации</v>
      </c>
      <c r="AN88" s="1186">
        <f>$I$79</f>
        <v>1</v>
      </c>
      <c r="AO88" s="1186" t="str">
        <f>$I$79&amp;"."&amp;$M$88</f>
        <v>1.4</v>
      </c>
      <c r="AP88" s="1186" t="str">
        <f>$I$79&amp;"."&amp;$M$88&amp;"."&amp;$Q$88</f>
        <v>1.4.1</v>
      </c>
      <c r="AQ88" s="1186" t="str">
        <f>$I$79&amp;"."&amp;$M$88&amp;"."&amp;$Q$88&amp;"."&amp;$U$88</f>
        <v>1.4.1.1</v>
      </c>
      <c r="AR88" s="1869"/>
    </row>
    <row r="89" spans="1:44" ht="17.25" customHeight="1">
      <c r="A89" s="1747"/>
      <c r="B89" s="1869"/>
      <c r="C89" s="1752"/>
      <c r="D89" s="6669"/>
      <c r="E89" s="6670"/>
      <c r="F89" s="6648"/>
      <c r="G89" s="6661"/>
      <c r="H89" s="6669"/>
      <c r="I89" s="6669"/>
      <c r="J89" s="6687"/>
      <c r="K89" s="6691"/>
      <c r="L89" s="6611"/>
      <c r="M89" s="6611"/>
      <c r="N89" s="6683"/>
      <c r="O89" s="6689"/>
      <c r="P89" s="6611"/>
      <c r="Q89" s="6611"/>
      <c r="R89" s="6690" t="s">
        <v>24</v>
      </c>
      <c r="S89" s="6610"/>
      <c r="T89" s="241"/>
      <c r="U89" s="242"/>
      <c r="V89" s="242" t="s">
        <v>228</v>
      </c>
      <c r="W89" s="243"/>
      <c r="X89" s="1869"/>
      <c r="Y89" s="1179"/>
      <c r="Z89" s="1179"/>
      <c r="AA89" s="1179"/>
      <c r="AB89" s="1179"/>
      <c r="AC89" s="1179"/>
      <c r="AD89" s="1179"/>
      <c r="AE89" s="1179"/>
      <c r="AF89" s="1179"/>
      <c r="AG89" s="1179"/>
      <c r="AH89" s="1179"/>
      <c r="AI89" s="1179"/>
      <c r="AJ89" s="1179"/>
      <c r="AK89" s="1179"/>
      <c r="AL89" s="1869"/>
      <c r="AM89" s="1869"/>
      <c r="AN89" s="1869"/>
      <c r="AO89" s="1869"/>
      <c r="AP89" s="1869"/>
      <c r="AQ89" s="1869"/>
      <c r="AR89" s="1869"/>
    </row>
    <row r="90" spans="1:44" ht="17.25" customHeight="1">
      <c r="A90" s="1747"/>
      <c r="B90" s="1869"/>
      <c r="C90" s="1752"/>
      <c r="D90" s="6669"/>
      <c r="E90" s="6670"/>
      <c r="F90" s="6648"/>
      <c r="G90" s="6661"/>
      <c r="H90" s="6669"/>
      <c r="I90" s="6669"/>
      <c r="J90" s="6687"/>
      <c r="K90" s="6691"/>
      <c r="L90" s="6644"/>
      <c r="M90" s="6644"/>
      <c r="N90" s="6684"/>
      <c r="O90" s="6615"/>
      <c r="P90" s="241"/>
      <c r="Q90" s="242"/>
      <c r="R90" s="242" t="s">
        <v>229</v>
      </c>
      <c r="S90" s="1753"/>
      <c r="T90" s="1753"/>
      <c r="U90" s="1753"/>
      <c r="V90" s="1753"/>
      <c r="W90" s="243"/>
      <c r="X90" s="1869"/>
      <c r="Y90" s="1179"/>
      <c r="Z90" s="1179"/>
      <c r="AA90" s="1179"/>
      <c r="AB90" s="1179"/>
      <c r="AC90" s="1179"/>
      <c r="AD90" s="1179"/>
      <c r="AE90" s="1179"/>
      <c r="AF90" s="1179"/>
      <c r="AG90" s="1179"/>
      <c r="AH90" s="1179"/>
      <c r="AI90" s="1179"/>
      <c r="AJ90" s="1179"/>
      <c r="AK90" s="1179"/>
      <c r="AL90" s="1869"/>
      <c r="AM90" s="1869"/>
      <c r="AN90" s="1869"/>
      <c r="AO90" s="1869"/>
      <c r="AP90" s="1869"/>
      <c r="AQ90" s="1869"/>
      <c r="AR90" s="1869"/>
    </row>
    <row r="91" spans="1:44" s="1852" customFormat="1" ht="17.25" customHeight="1">
      <c r="A91" s="245"/>
      <c r="C91" s="244"/>
      <c r="D91" s="6644"/>
      <c r="E91" s="6646"/>
      <c r="F91" s="6648"/>
      <c r="G91" s="6660"/>
      <c r="H91" s="6644"/>
      <c r="I91" s="6644"/>
      <c r="J91" s="6686"/>
      <c r="K91" s="6615"/>
      <c r="L91" s="1952"/>
      <c r="M91" s="1953"/>
      <c r="N91" s="1954" t="s">
        <v>272</v>
      </c>
      <c r="O91" s="1955"/>
      <c r="P91" s="1956"/>
      <c r="Q91" s="1957"/>
      <c r="R91" s="1958"/>
      <c r="S91" s="1959"/>
      <c r="T91" s="1960"/>
      <c r="U91" s="1961"/>
      <c r="V91" s="1962"/>
      <c r="W91" s="1963"/>
      <c r="X91" s="1179"/>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4" s="1852" customFormat="1" ht="17.25" customHeight="1">
      <c r="A92" s="245"/>
      <c r="C92" s="244"/>
      <c r="D92" s="6644"/>
      <c r="E92" s="6646"/>
      <c r="F92" s="6649"/>
      <c r="G92" s="6660"/>
      <c r="H92" s="1964"/>
      <c r="I92" s="1965"/>
      <c r="J92" s="1966" t="s">
        <v>273</v>
      </c>
      <c r="K92" s="1967"/>
      <c r="L92" s="1968"/>
      <c r="M92" s="1969"/>
      <c r="N92" s="1970"/>
      <c r="O92" s="1971"/>
      <c r="P92" s="1972"/>
      <c r="Q92" s="1973"/>
      <c r="R92" s="1974"/>
      <c r="S92" s="1975"/>
      <c r="T92" s="1976"/>
      <c r="U92" s="1977"/>
      <c r="V92" s="1978"/>
      <c r="W92" s="1979"/>
      <c r="X92" s="1179"/>
      <c r="Y92" s="1179"/>
      <c r="Z92" s="1179"/>
      <c r="AA92" s="1179"/>
      <c r="AB92" s="1179"/>
      <c r="AC92" s="1179"/>
      <c r="AD92" s="1179"/>
      <c r="AE92" s="1179"/>
      <c r="AF92" s="1179"/>
      <c r="AG92" s="1179"/>
      <c r="AH92" s="1179"/>
      <c r="AI92" s="1179"/>
      <c r="AJ92" s="1179"/>
      <c r="AK92" s="1179"/>
      <c r="AL92" s="1179"/>
      <c r="AM92" s="1179"/>
      <c r="AN92" s="1179"/>
      <c r="AO92" s="1179"/>
      <c r="AP92" s="1179"/>
      <c r="AQ92" s="1179"/>
    </row>
    <row r="93" spans="1:44" s="1852" customFormat="1" ht="17.25" customHeight="1">
      <c r="A93" s="245"/>
      <c r="C93" s="130"/>
      <c r="D93" s="6643">
        <v>5</v>
      </c>
      <c r="E93" s="6645" t="s">
        <v>308</v>
      </c>
      <c r="F93" s="6647" t="s">
        <v>56</v>
      </c>
      <c r="G93" s="6671" t="s">
        <v>24</v>
      </c>
      <c r="H93" s="6650"/>
      <c r="I93" s="6652"/>
      <c r="J93" s="6654"/>
      <c r="K93" s="6637"/>
      <c r="L93" s="6637"/>
      <c r="M93" s="6637"/>
      <c r="N93" s="6639"/>
      <c r="O93" s="6637"/>
      <c r="P93" s="6637"/>
      <c r="Q93" s="6637"/>
      <c r="R93" s="6642"/>
      <c r="S93" s="6637"/>
      <c r="T93" s="1980"/>
      <c r="U93" s="1980"/>
      <c r="V93" s="1981"/>
      <c r="W93" s="1982"/>
      <c r="X93" s="1186"/>
      <c r="Y93" s="1186"/>
      <c r="Z93" s="1186"/>
      <c r="AA93" s="1186"/>
      <c r="AB93" s="1186"/>
      <c r="AC93" s="1186" t="s">
        <v>309</v>
      </c>
      <c r="AD93" s="1186" t="s">
        <v>310</v>
      </c>
      <c r="AE93" s="1186" t="s">
        <v>311</v>
      </c>
      <c r="AF93" s="1186" t="s">
        <v>312</v>
      </c>
      <c r="AG93" s="1186" t="s">
        <v>313</v>
      </c>
      <c r="AH93" s="1186" t="str">
        <f>IF($E$93=0,"",$E$93)</f>
        <v>Тарифы на услуги по передаче тепловой энергии</v>
      </c>
      <c r="AI93" s="1186" t="str">
        <f>IF($G$93=0,"",$G$93)</f>
        <v/>
      </c>
      <c r="AJ93" s="1186" t="str">
        <f>IF($J$93=0,"",$J$93)</f>
        <v/>
      </c>
      <c r="AK93" s="1186" t="str">
        <f>IF($K$93="нет","без дифференциации",IF($N$93=0,"",$N$93))</f>
        <v/>
      </c>
      <c r="AL93" s="1186" t="str">
        <f>IF($O$93="нет","без дифференциации",IF($R$93=0,"",$R$93))</f>
        <v/>
      </c>
      <c r="AM93" s="1186" t="str">
        <f>IF($S$93="нет","без дифференциации",IF($V$93=0,"",$V$93))</f>
        <v/>
      </c>
      <c r="AN93" s="1681">
        <f>$I$93</f>
        <v>0</v>
      </c>
      <c r="AO93" s="1186" t="str">
        <f>$I$93&amp;"."&amp;$M$93</f>
        <v>.</v>
      </c>
      <c r="AP93" s="1179" t="str">
        <f>$I$93&amp;"."&amp;$M$93&amp;"."&amp;$Q$93</f>
        <v>..</v>
      </c>
      <c r="AQ93" s="1179" t="str">
        <f>$I$93&amp;"."&amp;$M$93&amp;"."&amp;$Q$93&amp;"."&amp;$U$93</f>
        <v>...</v>
      </c>
    </row>
    <row r="94" spans="1:44" s="1852" customFormat="1" ht="17.25" customHeight="1">
      <c r="A94" s="245"/>
      <c r="C94" s="244"/>
      <c r="D94" s="6643"/>
      <c r="E94" s="6645"/>
      <c r="F94" s="6648"/>
      <c r="G94" s="6671" t="s">
        <v>24</v>
      </c>
      <c r="H94" s="6651"/>
      <c r="I94" s="6653"/>
      <c r="J94" s="6655"/>
      <c r="K94" s="6638"/>
      <c r="L94" s="6638"/>
      <c r="M94" s="6638"/>
      <c r="N94" s="6640"/>
      <c r="O94" s="6638"/>
      <c r="P94" s="6638"/>
      <c r="Q94" s="6638"/>
      <c r="R94" s="6641"/>
      <c r="S94" s="6638"/>
      <c r="T94" s="1984"/>
      <c r="U94" s="1984"/>
      <c r="V94" s="1984"/>
      <c r="W94" s="1985"/>
      <c r="X94" s="1179"/>
      <c r="Y94" s="1179"/>
      <c r="Z94" s="1179"/>
      <c r="AA94" s="1179"/>
      <c r="AB94" s="1179"/>
      <c r="AC94" s="1179"/>
      <c r="AD94" s="1179"/>
      <c r="AE94" s="1179"/>
      <c r="AF94" s="1179"/>
      <c r="AG94" s="1179"/>
      <c r="AH94" s="1179"/>
      <c r="AI94" s="1179"/>
      <c r="AJ94" s="1179"/>
      <c r="AK94" s="1179"/>
      <c r="AL94" s="1179"/>
      <c r="AM94" s="1179"/>
      <c r="AN94" s="1179"/>
      <c r="AO94" s="1179"/>
      <c r="AP94" s="1179"/>
      <c r="AQ94" s="1179"/>
    </row>
    <row r="95" spans="1:44" s="1852" customFormat="1" ht="17.25" customHeight="1">
      <c r="A95" s="245"/>
      <c r="C95" s="244"/>
      <c r="D95" s="6644"/>
      <c r="E95" s="6646"/>
      <c r="F95" s="6648"/>
      <c r="G95" s="6672" t="s">
        <v>24</v>
      </c>
      <c r="H95" s="6651"/>
      <c r="I95" s="6653"/>
      <c r="J95" s="6656"/>
      <c r="K95" s="6638"/>
      <c r="L95" s="6638"/>
      <c r="M95" s="6638"/>
      <c r="N95" s="6641"/>
      <c r="O95" s="6638"/>
      <c r="P95" s="1983"/>
      <c r="Q95" s="1984"/>
      <c r="R95" s="1984"/>
      <c r="S95" s="1869"/>
      <c r="T95" s="1869"/>
      <c r="U95" s="1869"/>
      <c r="V95" s="1869"/>
      <c r="W95" s="1985"/>
      <c r="X95" s="1179"/>
      <c r="Y95" s="1179"/>
      <c r="Z95" s="1179"/>
      <c r="AA95" s="1179"/>
      <c r="AB95" s="1179"/>
      <c r="AC95" s="1179"/>
      <c r="AD95" s="1179"/>
      <c r="AE95" s="1179"/>
      <c r="AF95" s="1179"/>
      <c r="AG95" s="1179"/>
      <c r="AH95" s="1179"/>
      <c r="AI95" s="1179"/>
      <c r="AJ95" s="1179"/>
      <c r="AK95" s="1179"/>
      <c r="AL95" s="1179"/>
      <c r="AM95" s="1179"/>
      <c r="AN95" s="1179"/>
      <c r="AO95" s="1179"/>
      <c r="AP95" s="1179"/>
      <c r="AQ95" s="1179"/>
    </row>
    <row r="96" spans="1:44" s="1852" customFormat="1" ht="17.25" customHeight="1">
      <c r="A96" s="245"/>
      <c r="C96" s="244"/>
      <c r="D96" s="6644"/>
      <c r="E96" s="6646"/>
      <c r="F96" s="6648"/>
      <c r="G96" s="6672" t="s">
        <v>24</v>
      </c>
      <c r="H96" s="6651"/>
      <c r="I96" s="6653"/>
      <c r="J96" s="6656"/>
      <c r="K96" s="6638"/>
      <c r="L96" s="1984"/>
      <c r="M96" s="1984"/>
      <c r="N96" s="1984"/>
      <c r="O96" s="1984"/>
      <c r="P96" s="1984"/>
      <c r="Q96" s="1984"/>
      <c r="R96" s="1984"/>
      <c r="S96" s="1869"/>
      <c r="T96" s="1869"/>
      <c r="U96" s="1869"/>
      <c r="V96" s="1869"/>
      <c r="W96" s="1985"/>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852" customFormat="1" ht="17.25" customHeight="1">
      <c r="A97" s="245"/>
      <c r="C97" s="244"/>
      <c r="D97" s="6644"/>
      <c r="E97" s="6646"/>
      <c r="F97" s="6649"/>
      <c r="G97" s="6672" t="s">
        <v>24</v>
      </c>
      <c r="H97" s="1986"/>
      <c r="I97" s="1987"/>
      <c r="J97" s="1987"/>
      <c r="K97" s="1987"/>
      <c r="L97" s="1987"/>
      <c r="M97" s="1987"/>
      <c r="N97" s="1987"/>
      <c r="O97" s="1987"/>
      <c r="P97" s="1987"/>
      <c r="Q97" s="1987"/>
      <c r="R97" s="1987"/>
      <c r="S97" s="1988"/>
      <c r="T97" s="1988"/>
      <c r="U97" s="1988"/>
      <c r="V97" s="1988"/>
      <c r="W97" s="1989"/>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852" customFormat="1" ht="17.25" customHeight="1">
      <c r="A98" s="245"/>
      <c r="C98" s="130"/>
      <c r="D98" s="6643">
        <v>6</v>
      </c>
      <c r="E98" s="6645" t="s">
        <v>314</v>
      </c>
      <c r="F98" s="6647" t="s">
        <v>56</v>
      </c>
      <c r="G98" s="6645"/>
      <c r="H98" s="6650"/>
      <c r="I98" s="6652"/>
      <c r="J98" s="6654"/>
      <c r="K98" s="6637"/>
      <c r="L98" s="6637"/>
      <c r="M98" s="6637"/>
      <c r="N98" s="6639"/>
      <c r="O98" s="6637"/>
      <c r="P98" s="6637"/>
      <c r="Q98" s="6637"/>
      <c r="R98" s="6642"/>
      <c r="S98" s="6637"/>
      <c r="T98" s="1334"/>
      <c r="U98" s="1334"/>
      <c r="V98" s="1333"/>
      <c r="W98" s="1215"/>
      <c r="X98" s="1186"/>
      <c r="Y98" s="1186"/>
      <c r="Z98" s="1186"/>
      <c r="AA98" s="1186"/>
      <c r="AB98" s="1186"/>
      <c r="AC98" s="1186" t="s">
        <v>315</v>
      </c>
      <c r="AD98" s="1186" t="s">
        <v>316</v>
      </c>
      <c r="AE98" s="1186" t="s">
        <v>317</v>
      </c>
      <c r="AF98" s="1186" t="s">
        <v>318</v>
      </c>
      <c r="AG98" s="1186" t="s">
        <v>319</v>
      </c>
      <c r="AH98" s="1186" t="str">
        <f>IF($E$98=0,"",$E$98)</f>
        <v>Тарифы на услуги по передаче теплоносителя</v>
      </c>
      <c r="AI98" s="1186" t="str">
        <f>IF($G$98=0,"",$G$98)</f>
        <v/>
      </c>
      <c r="AJ98" s="1186" t="str">
        <f>IF($J$98=0,"",$J$98)</f>
        <v/>
      </c>
      <c r="AK98" s="1186" t="str">
        <f>IF($K$98="нет","без дифференциации",IF($N$98=0,"",$N$98))</f>
        <v/>
      </c>
      <c r="AL98" s="1186" t="str">
        <f>IF($O$98="нет","без дифференциации",IF($R$98=0,"",$R$98))</f>
        <v/>
      </c>
      <c r="AM98" s="1186" t="str">
        <f>IF($S$98="нет","без дифференциации",IF($V$98=0,"",$V$98))</f>
        <v/>
      </c>
      <c r="AN98" s="1681">
        <f>$I$98</f>
        <v>0</v>
      </c>
      <c r="AO98" s="1186" t="str">
        <f>$I$98&amp;"."&amp;$M$98</f>
        <v>.</v>
      </c>
      <c r="AP98" s="1179" t="str">
        <f>$I$98&amp;"."&amp;$M$98&amp;"."&amp;$Q$98</f>
        <v>..</v>
      </c>
      <c r="AQ98" s="1179" t="str">
        <f>$I$98&amp;"."&amp;$M$98&amp;"."&amp;$Q$98&amp;"."&amp;$U$98</f>
        <v>...</v>
      </c>
    </row>
    <row r="99" spans="1:43" s="1852" customFormat="1" ht="17.25" customHeight="1">
      <c r="A99" s="245"/>
      <c r="C99" s="244"/>
      <c r="D99" s="6643"/>
      <c r="E99" s="6645"/>
      <c r="F99" s="6648"/>
      <c r="G99" s="6645"/>
      <c r="H99" s="6651"/>
      <c r="I99" s="6653"/>
      <c r="J99" s="6655"/>
      <c r="K99" s="6638"/>
      <c r="L99" s="6638"/>
      <c r="M99" s="6638"/>
      <c r="N99" s="6640"/>
      <c r="O99" s="6638"/>
      <c r="P99" s="6638"/>
      <c r="Q99" s="6638"/>
      <c r="R99" s="6641"/>
      <c r="S99" s="6638"/>
      <c r="T99" s="1216"/>
      <c r="U99" s="1216"/>
      <c r="V99" s="1216"/>
      <c r="W99" s="1217"/>
      <c r="X99" s="1179"/>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852" customFormat="1" ht="17.25" customHeight="1">
      <c r="A100" s="245"/>
      <c r="C100" s="244"/>
      <c r="D100" s="6644"/>
      <c r="E100" s="6646"/>
      <c r="F100" s="6648"/>
      <c r="G100" s="6646"/>
      <c r="H100" s="6651"/>
      <c r="I100" s="6653"/>
      <c r="J100" s="6656"/>
      <c r="K100" s="6638"/>
      <c r="L100" s="6638"/>
      <c r="M100" s="6638"/>
      <c r="N100" s="6641"/>
      <c r="O100" s="6638"/>
      <c r="P100" s="1332"/>
      <c r="Q100" s="1216"/>
      <c r="R100" s="1216"/>
      <c r="S100" s="256"/>
      <c r="T100" s="256"/>
      <c r="U100" s="256"/>
      <c r="V100" s="256"/>
      <c r="W100" s="1217"/>
      <c r="X100" s="1179"/>
      <c r="Y100" s="1179"/>
      <c r="Z100" s="1179"/>
      <c r="AA100" s="1179"/>
      <c r="AB100" s="1179"/>
      <c r="AC100" s="1179"/>
      <c r="AD100" s="1179"/>
      <c r="AE100" s="1179"/>
      <c r="AF100" s="1179"/>
      <c r="AG100" s="1179"/>
      <c r="AH100" s="1179"/>
      <c r="AI100" s="1179"/>
      <c r="AJ100" s="1179"/>
      <c r="AK100" s="1179"/>
      <c r="AL100" s="1179"/>
      <c r="AM100" s="1179"/>
      <c r="AN100" s="1179"/>
      <c r="AO100" s="1179"/>
      <c r="AP100" s="1179"/>
      <c r="AQ100" s="1179"/>
    </row>
    <row r="101" spans="1:43" s="1990" customFormat="1" ht="17.25" customHeight="1">
      <c r="A101" s="245"/>
      <c r="C101" s="130"/>
      <c r="D101" s="6644"/>
      <c r="E101" s="6646"/>
      <c r="F101" s="6648"/>
      <c r="G101" s="6646"/>
      <c r="H101" s="6651"/>
      <c r="I101" s="6653"/>
      <c r="J101" s="6656"/>
      <c r="K101" s="6638"/>
      <c r="L101" s="1216"/>
      <c r="M101" s="1216"/>
      <c r="N101" s="1216"/>
      <c r="O101" s="1216"/>
      <c r="P101" s="1216"/>
      <c r="Q101" s="1216"/>
      <c r="R101" s="1216"/>
      <c r="S101" s="256"/>
      <c r="T101" s="256"/>
      <c r="U101" s="256"/>
      <c r="V101" s="256"/>
      <c r="W101" s="1217"/>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row>
    <row r="102" spans="1:43" s="1852" customFormat="1" ht="17.25" customHeight="1">
      <c r="A102" s="245"/>
      <c r="C102" s="244"/>
      <c r="D102" s="6644"/>
      <c r="E102" s="6646"/>
      <c r="F102" s="6649"/>
      <c r="G102" s="6646"/>
      <c r="H102" s="1218"/>
      <c r="I102" s="1219"/>
      <c r="J102" s="1219"/>
      <c r="K102" s="1219"/>
      <c r="L102" s="1219"/>
      <c r="M102" s="1219"/>
      <c r="N102" s="1219"/>
      <c r="O102" s="1219"/>
      <c r="P102" s="1219"/>
      <c r="Q102" s="1219"/>
      <c r="R102" s="1219"/>
      <c r="S102" s="1220"/>
      <c r="T102" s="1220"/>
      <c r="U102" s="1220"/>
      <c r="V102" s="1220"/>
      <c r="W102" s="1221"/>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991" customFormat="1" ht="17.25" customHeight="1">
      <c r="A103" s="245"/>
      <c r="C103" s="130"/>
      <c r="D103" s="6673">
        <v>7</v>
      </c>
      <c r="E103" s="6676" t="s">
        <v>320</v>
      </c>
      <c r="F103" s="6647" t="s">
        <v>56</v>
      </c>
      <c r="G103" s="6676"/>
      <c r="H103" s="6650"/>
      <c r="I103" s="6652"/>
      <c r="J103" s="6654"/>
      <c r="K103" s="6637"/>
      <c r="L103" s="6637"/>
      <c r="M103" s="6637"/>
      <c r="N103" s="6639"/>
      <c r="O103" s="6637"/>
      <c r="P103" s="6637"/>
      <c r="Q103" s="6637"/>
      <c r="R103" s="6642"/>
      <c r="S103" s="6637"/>
      <c r="T103" s="1334"/>
      <c r="U103" s="1334"/>
      <c r="V103" s="1333"/>
      <c r="W103" s="1215"/>
      <c r="X103" s="1186"/>
      <c r="Y103" s="1186"/>
      <c r="Z103" s="1186"/>
      <c r="AA103" s="1186"/>
      <c r="AB103" s="1186"/>
      <c r="AC103" s="1186" t="s">
        <v>321</v>
      </c>
      <c r="AD103" s="1186" t="s">
        <v>322</v>
      </c>
      <c r="AE103" s="1186" t="s">
        <v>323</v>
      </c>
      <c r="AF103" s="1186" t="s">
        <v>324</v>
      </c>
      <c r="AG103" s="1186" t="s">
        <v>325</v>
      </c>
      <c r="AH103" s="1186" t="str">
        <f>IF($E$103=0,"",$E$103)</f>
        <v>Плата за услуги по поддержанию резервной тепловой мощности при отсутствии потребления тепловой энергии</v>
      </c>
      <c r="AI103" s="1186" t="str">
        <f>IF($G$103=0,"",$G$103)</f>
        <v/>
      </c>
      <c r="AJ103" s="1186" t="str">
        <f>IF($J$103=0,"",$J$103)</f>
        <v/>
      </c>
      <c r="AK103" s="1186" t="str">
        <f>IF($K$103="нет","без дифференциации",IF($N$103=0,"",$N$103))</f>
        <v/>
      </c>
      <c r="AL103" s="1186" t="str">
        <f>IF($O$103="нет","без дифференциации",IF($R$103=0,"",$R$103))</f>
        <v/>
      </c>
      <c r="AM103" s="1186" t="str">
        <f>IF($S$103="нет","без дифференциации",IF($V$103=0,"",$V$103))</f>
        <v/>
      </c>
      <c r="AN103" s="1681">
        <f>$I$103</f>
        <v>0</v>
      </c>
      <c r="AO103" s="1186" t="str">
        <f>$I$103&amp;"."&amp;$M$103</f>
        <v>.</v>
      </c>
      <c r="AP103" s="1179" t="str">
        <f>$I$103&amp;"."&amp;$M$103&amp;"."&amp;$Q$103</f>
        <v>..</v>
      </c>
      <c r="AQ103" s="1179" t="str">
        <f>$I$103&amp;"."&amp;$M$103&amp;"."&amp;$Q$103&amp;"."&amp;$U$103</f>
        <v>...</v>
      </c>
    </row>
    <row r="104" spans="1:43" s="1991" customFormat="1" ht="17.25" customHeight="1">
      <c r="A104" s="245"/>
      <c r="C104" s="244"/>
      <c r="D104" s="6674"/>
      <c r="E104" s="6677"/>
      <c r="F104" s="6648"/>
      <c r="G104" s="6677"/>
      <c r="H104" s="6651"/>
      <c r="I104" s="6653"/>
      <c r="J104" s="6655"/>
      <c r="K104" s="6638"/>
      <c r="L104" s="6638"/>
      <c r="M104" s="6638"/>
      <c r="N104" s="6640"/>
      <c r="O104" s="6638"/>
      <c r="P104" s="6638"/>
      <c r="Q104" s="6638"/>
      <c r="R104" s="6641"/>
      <c r="S104" s="6638"/>
      <c r="T104" s="1216"/>
      <c r="U104" s="1216"/>
      <c r="V104" s="1216"/>
      <c r="W104" s="1217"/>
      <c r="X104" s="1179"/>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991" customFormat="1" ht="17.25" customHeight="1">
      <c r="A105" s="245"/>
      <c r="C105" s="244"/>
      <c r="D105" s="6674"/>
      <c r="E105" s="6677"/>
      <c r="F105" s="6648"/>
      <c r="G105" s="6677"/>
      <c r="H105" s="6651"/>
      <c r="I105" s="6653"/>
      <c r="J105" s="6656"/>
      <c r="K105" s="6638"/>
      <c r="L105" s="6638"/>
      <c r="M105" s="6638"/>
      <c r="N105" s="6641"/>
      <c r="O105" s="6638"/>
      <c r="P105" s="1332"/>
      <c r="Q105" s="1216"/>
      <c r="R105" s="1216"/>
      <c r="S105" s="256"/>
      <c r="T105" s="256"/>
      <c r="U105" s="256"/>
      <c r="V105" s="256"/>
      <c r="W105" s="1217"/>
      <c r="X105" s="1179"/>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990" customFormat="1" ht="17.25" customHeight="1">
      <c r="A106" s="245"/>
      <c r="C106" s="130"/>
      <c r="D106" s="6674"/>
      <c r="E106" s="6677"/>
      <c r="F106" s="6648"/>
      <c r="G106" s="6677"/>
      <c r="H106" s="6651"/>
      <c r="I106" s="6653"/>
      <c r="J106" s="6656"/>
      <c r="K106" s="6638"/>
      <c r="L106" s="1216"/>
      <c r="M106" s="1216"/>
      <c r="N106" s="1216"/>
      <c r="O106" s="1216"/>
      <c r="P106" s="1216"/>
      <c r="Q106" s="1216"/>
      <c r="R106" s="1216"/>
      <c r="S106" s="256"/>
      <c r="T106" s="256"/>
      <c r="U106" s="256"/>
      <c r="V106" s="256"/>
      <c r="W106" s="1217"/>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row>
    <row r="107" spans="1:43" s="1991" customFormat="1" ht="17.25" customHeight="1">
      <c r="A107" s="245"/>
      <c r="C107" s="244"/>
      <c r="D107" s="6675"/>
      <c r="E107" s="6678"/>
      <c r="F107" s="6649"/>
      <c r="G107" s="6678"/>
      <c r="H107" s="1218"/>
      <c r="I107" s="1219"/>
      <c r="J107" s="1219"/>
      <c r="K107" s="1219"/>
      <c r="L107" s="1219"/>
      <c r="M107" s="1219"/>
      <c r="N107" s="1219"/>
      <c r="O107" s="1219"/>
      <c r="P107" s="1219"/>
      <c r="Q107" s="1219"/>
      <c r="R107" s="1219"/>
      <c r="S107" s="1220"/>
      <c r="T107" s="1220"/>
      <c r="U107" s="1220"/>
      <c r="V107" s="1220"/>
      <c r="W107" s="1221"/>
      <c r="X107" s="1179"/>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991" customFormat="1" ht="17.25" customHeight="1">
      <c r="A108" s="245"/>
      <c r="C108" s="130"/>
      <c r="D108" s="6643">
        <v>8</v>
      </c>
      <c r="E108" s="6645" t="s">
        <v>326</v>
      </c>
      <c r="F108" s="6647" t="s">
        <v>61</v>
      </c>
      <c r="G108" s="6659" t="str">
        <f>INDEX(HEAT_PT_VED_NAME,MATCH(4190072,HEAT_PT_VED_ID,0))</f>
        <v>Подключение (технологическое присоединение) к системе теплоснабжения</v>
      </c>
      <c r="H108" s="6682"/>
      <c r="I108" s="6682">
        <v>1</v>
      </c>
      <c r="J108" s="6685" t="s">
        <v>327</v>
      </c>
      <c r="K108" s="6688" t="s">
        <v>56</v>
      </c>
      <c r="L108" s="6611"/>
      <c r="M108" s="6611" t="s">
        <v>178</v>
      </c>
      <c r="N108" s="6692" t="s">
        <v>24</v>
      </c>
      <c r="O108" s="6688" t="s">
        <v>56</v>
      </c>
      <c r="P108" s="6611"/>
      <c r="Q108" s="6611" t="s">
        <v>178</v>
      </c>
      <c r="R108" s="6690" t="s">
        <v>24</v>
      </c>
      <c r="S108" s="6610" t="s">
        <v>56</v>
      </c>
      <c r="T108" s="1854"/>
      <c r="U108" s="1854" t="s">
        <v>178</v>
      </c>
      <c r="V108" s="1855" t="s">
        <v>24</v>
      </c>
      <c r="W108" s="1853"/>
      <c r="X108" s="1186"/>
      <c r="Y108" s="1186"/>
      <c r="Z108" s="1186"/>
      <c r="AA108" s="1186"/>
      <c r="AB108" s="1186" t="s">
        <v>328</v>
      </c>
      <c r="AC108" s="1186" t="s">
        <v>329</v>
      </c>
      <c r="AD108" s="1186" t="s">
        <v>330</v>
      </c>
      <c r="AE108" s="1186" t="s">
        <v>331</v>
      </c>
      <c r="AF108" s="1186" t="s">
        <v>332</v>
      </c>
      <c r="AG108" s="1186" t="s">
        <v>333</v>
      </c>
      <c r="AH108" s="1186" t="str">
        <f>IF($E$108=0,"",$E$108)</f>
        <v>Плата за подключение (технологическое присоединение) к системе теплоснабжения</v>
      </c>
      <c r="AI108" s="1186" t="str">
        <f>IF($G$108=0,"",$G$108)</f>
        <v>Подключение (технологическое присоединение) к системе теплоснабжения</v>
      </c>
      <c r="AJ108" s="1186" t="str">
        <f>IF($J$108=0,"",$J$108)</f>
        <v>Плата за подключение в расчете на единицу мощности подключаемой тепловой нагрузки в случае наличия технической возможности подключения к системе теплоснабжения</v>
      </c>
      <c r="AK108" s="1186" t="str">
        <f>IF($K$108="нет","без дифференциации",IF($N$108=0,"",$N$108))</f>
        <v>без дифференциации</v>
      </c>
      <c r="AL108" s="1186" t="str">
        <f>IF($O$108="нет","без дифференциации",IF($R$108=0,"",$R$108))</f>
        <v>без дифференциации</v>
      </c>
      <c r="AM108" s="1186" t="str">
        <f>IF($S$108="нет","без дифференциации",IF($V$108=0,"",$V$108))</f>
        <v>без дифференциации</v>
      </c>
      <c r="AN108" s="1681">
        <f>$I$108</f>
        <v>1</v>
      </c>
      <c r="AO108" s="1186" t="str">
        <f>$I$108&amp;"."&amp;$M$108</f>
        <v>1.1</v>
      </c>
      <c r="AP108" s="1179" t="str">
        <f>$I$108&amp;"."&amp;$M$108&amp;"."&amp;$Q$108</f>
        <v>1.1.1</v>
      </c>
      <c r="AQ108" s="1179" t="str">
        <f>$I$108&amp;"."&amp;$M$108&amp;"."&amp;$Q$108&amp;"."&amp;$U$108</f>
        <v>1.1.1.1</v>
      </c>
    </row>
    <row r="109" spans="1:43" s="1991" customFormat="1" ht="17.25" customHeight="1">
      <c r="A109" s="245"/>
      <c r="C109" s="244"/>
      <c r="D109" s="6643"/>
      <c r="E109" s="6645"/>
      <c r="F109" s="6648"/>
      <c r="G109" s="6659"/>
      <c r="H109" s="6682"/>
      <c r="I109" s="6682"/>
      <c r="J109" s="6685"/>
      <c r="K109" s="6689"/>
      <c r="L109" s="6611"/>
      <c r="M109" s="6611"/>
      <c r="N109" s="6692" t="s">
        <v>24</v>
      </c>
      <c r="O109" s="6689"/>
      <c r="P109" s="6611"/>
      <c r="Q109" s="6611"/>
      <c r="R109" s="6690" t="s">
        <v>24</v>
      </c>
      <c r="S109" s="6610"/>
      <c r="T109" s="1992"/>
      <c r="U109" s="1993"/>
      <c r="V109" s="1994" t="s">
        <v>228</v>
      </c>
      <c r="W109" s="1995"/>
      <c r="X109" s="1179"/>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991" customFormat="1" ht="17.25" customHeight="1">
      <c r="A110" s="245"/>
      <c r="C110" s="244"/>
      <c r="D110" s="6644"/>
      <c r="E110" s="6646"/>
      <c r="F110" s="6648"/>
      <c r="G110" s="6660"/>
      <c r="H110" s="6644"/>
      <c r="I110" s="6644"/>
      <c r="J110" s="6686"/>
      <c r="K110" s="6689"/>
      <c r="L110" s="6644"/>
      <c r="M110" s="6644"/>
      <c r="N110" s="6690" t="s">
        <v>24</v>
      </c>
      <c r="O110" s="6615"/>
      <c r="P110" s="1996"/>
      <c r="Q110" s="1997"/>
      <c r="R110" s="1998" t="s">
        <v>229</v>
      </c>
      <c r="S110" s="1999"/>
      <c r="T110" s="2000"/>
      <c r="U110" s="2001"/>
      <c r="V110" s="2002"/>
      <c r="W110" s="2003"/>
      <c r="X110" s="1179"/>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row>
    <row r="111" spans="1:43" s="1990" customFormat="1" ht="17.25" customHeight="1">
      <c r="A111" s="245"/>
      <c r="C111" s="130"/>
      <c r="D111" s="6644"/>
      <c r="E111" s="6646"/>
      <c r="F111" s="6648"/>
      <c r="G111" s="6660"/>
      <c r="H111" s="6644"/>
      <c r="I111" s="6644"/>
      <c r="J111" s="6686"/>
      <c r="K111" s="6615"/>
      <c r="L111" s="2004"/>
      <c r="M111" s="2005"/>
      <c r="N111" s="2006" t="s">
        <v>272</v>
      </c>
      <c r="O111" s="2007"/>
      <c r="P111" s="2008"/>
      <c r="Q111" s="2009"/>
      <c r="R111" s="2010"/>
      <c r="S111" s="2011"/>
      <c r="T111" s="2012"/>
      <c r="U111" s="2013"/>
      <c r="V111" s="2014"/>
      <c r="W111" s="2015"/>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row>
    <row r="112" spans="1:43" s="1991" customFormat="1" ht="17.25" customHeight="1">
      <c r="A112" s="245"/>
      <c r="C112" s="244"/>
      <c r="D112" s="6644"/>
      <c r="E112" s="6646"/>
      <c r="F112" s="6649"/>
      <c r="G112" s="6660"/>
      <c r="H112" s="2016"/>
      <c r="I112" s="2017"/>
      <c r="J112" s="2018" t="s">
        <v>273</v>
      </c>
      <c r="K112" s="2019"/>
      <c r="L112" s="2020"/>
      <c r="M112" s="2021"/>
      <c r="N112" s="2022"/>
      <c r="O112" s="2023"/>
      <c r="P112" s="2024"/>
      <c r="Q112" s="2025"/>
      <c r="R112" s="2026"/>
      <c r="S112" s="2027"/>
      <c r="T112" s="2028"/>
      <c r="U112" s="2029"/>
      <c r="V112" s="2030"/>
      <c r="W112" s="2031"/>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4" spans="1:43" ht="11.25" customHeight="1">
      <c r="E114" s="6681" t="s">
        <v>334</v>
      </c>
      <c r="F114" s="6681"/>
      <c r="G114" s="6681"/>
      <c r="H114" s="6681"/>
      <c r="I114" s="6681"/>
      <c r="J114" s="6681"/>
      <c r="K114" s="6681"/>
      <c r="L114" s="6681"/>
      <c r="M114" s="6681"/>
      <c r="N114" s="6681"/>
      <c r="O114" s="6681"/>
      <c r="P114" s="6681"/>
      <c r="Q114" s="6681"/>
      <c r="R114" s="6681"/>
      <c r="S114" s="6681"/>
      <c r="T114" s="6681"/>
      <c r="U114" s="6681"/>
      <c r="V114" s="6681"/>
      <c r="W114" s="6681"/>
    </row>
    <row r="115" spans="1:43" ht="36.75" customHeight="1">
      <c r="E115" s="6679" t="s">
        <v>335</v>
      </c>
      <c r="F115" s="6679"/>
      <c r="G115" s="6680"/>
      <c r="H115" s="6680"/>
      <c r="I115" s="6680"/>
      <c r="J115" s="6680"/>
      <c r="K115" s="6680"/>
      <c r="L115" s="6680"/>
      <c r="M115" s="6680"/>
      <c r="N115" s="6680"/>
      <c r="O115" s="6680"/>
      <c r="P115" s="6680"/>
      <c r="Q115" s="6680"/>
      <c r="R115" s="6680"/>
      <c r="S115" s="6680"/>
      <c r="T115" s="6680"/>
      <c r="U115" s="6680"/>
      <c r="V115" s="6680"/>
      <c r="W115" s="6680"/>
    </row>
    <row r="116" spans="1:43" ht="28.5" customHeight="1">
      <c r="E116" s="6679" t="s">
        <v>336</v>
      </c>
      <c r="F116" s="6679"/>
      <c r="G116" s="6680"/>
      <c r="H116" s="6680"/>
      <c r="I116" s="6680"/>
      <c r="J116" s="6680"/>
      <c r="K116" s="6680"/>
      <c r="L116" s="6680"/>
      <c r="M116" s="6680"/>
      <c r="N116" s="6680"/>
      <c r="O116" s="6680"/>
      <c r="P116" s="6680"/>
      <c r="Q116" s="6680"/>
      <c r="R116" s="6680"/>
      <c r="S116" s="6680"/>
      <c r="T116" s="6680"/>
      <c r="U116" s="6680"/>
      <c r="V116" s="6680"/>
      <c r="W116" s="6680"/>
    </row>
    <row r="117" spans="1:43" ht="27" customHeight="1">
      <c r="E117" s="6679" t="s">
        <v>337</v>
      </c>
      <c r="F117" s="6679"/>
      <c r="G117" s="6680"/>
      <c r="H117" s="6680"/>
      <c r="I117" s="6680"/>
      <c r="J117" s="6680"/>
      <c r="K117" s="6680"/>
      <c r="L117" s="6680"/>
      <c r="M117" s="6680"/>
      <c r="N117" s="6680"/>
      <c r="O117" s="6680"/>
      <c r="P117" s="6680"/>
      <c r="Q117" s="6680"/>
      <c r="R117" s="6680"/>
      <c r="S117" s="6680"/>
      <c r="T117" s="6680"/>
      <c r="U117" s="6680"/>
      <c r="V117" s="6680"/>
      <c r="W117" s="6680"/>
    </row>
    <row r="118" spans="1:43" ht="17.25" customHeight="1">
      <c r="E118" s="6679" t="s">
        <v>338</v>
      </c>
      <c r="F118" s="6679"/>
      <c r="G118" s="6680"/>
      <c r="H118" s="6680"/>
      <c r="I118" s="6680"/>
      <c r="J118" s="6680"/>
      <c r="K118" s="6680"/>
      <c r="L118" s="6680"/>
      <c r="M118" s="6680"/>
      <c r="N118" s="6680"/>
      <c r="O118" s="6680"/>
      <c r="P118" s="6680"/>
      <c r="Q118" s="6680"/>
      <c r="R118" s="6680"/>
      <c r="S118" s="6680"/>
      <c r="T118" s="6680"/>
      <c r="U118" s="6680"/>
      <c r="V118" s="6680"/>
      <c r="W118" s="6680"/>
    </row>
    <row r="119" spans="1:43" ht="15" customHeight="1">
      <c r="E119" s="267"/>
      <c r="F119" s="1204"/>
      <c r="G119" s="79"/>
      <c r="H119" s="79"/>
      <c r="I119" s="79"/>
      <c r="J119" s="79"/>
      <c r="K119" s="79"/>
      <c r="L119" s="79"/>
      <c r="M119" s="79"/>
      <c r="N119" s="79"/>
      <c r="O119" s="79"/>
      <c r="P119" s="79"/>
      <c r="Q119" s="79"/>
      <c r="R119" s="79"/>
      <c r="S119" s="79"/>
      <c r="T119" s="79"/>
      <c r="U119" s="79"/>
      <c r="V119" s="79"/>
      <c r="W119" s="79"/>
    </row>
    <row r="120" spans="1:43" ht="15" customHeight="1">
      <c r="E120" s="6681" t="s">
        <v>339</v>
      </c>
      <c r="F120" s="6681"/>
      <c r="G120" s="6681"/>
      <c r="H120" s="6681"/>
      <c r="I120" s="6681"/>
      <c r="J120" s="6681"/>
      <c r="K120" s="6681"/>
      <c r="L120" s="6681"/>
      <c r="M120" s="6681"/>
      <c r="N120" s="6681"/>
      <c r="O120" s="6681"/>
      <c r="P120" s="6681"/>
      <c r="Q120" s="6681"/>
      <c r="R120" s="6681"/>
      <c r="S120" s="6681"/>
      <c r="T120" s="6681"/>
      <c r="U120" s="6681"/>
      <c r="V120" s="6681"/>
      <c r="W120" s="6681"/>
    </row>
    <row r="121" spans="1:43" ht="17.25" customHeight="1">
      <c r="E121" s="6679" t="s">
        <v>340</v>
      </c>
      <c r="F121" s="6679"/>
      <c r="G121" s="6680"/>
      <c r="H121" s="6680"/>
      <c r="I121" s="6680"/>
      <c r="J121" s="6680"/>
      <c r="K121" s="6680"/>
      <c r="L121" s="6680"/>
      <c r="M121" s="6680"/>
      <c r="N121" s="6680"/>
      <c r="O121" s="6680"/>
      <c r="P121" s="6680"/>
      <c r="Q121" s="6680"/>
      <c r="R121" s="6680"/>
      <c r="S121" s="6680"/>
      <c r="T121" s="6680"/>
      <c r="U121" s="6680"/>
      <c r="V121" s="6680"/>
      <c r="W121" s="6680"/>
    </row>
    <row r="122" spans="1:43" ht="17.25" customHeight="1">
      <c r="E122" s="6679" t="s">
        <v>341</v>
      </c>
      <c r="F122" s="6679"/>
      <c r="G122" s="6680"/>
      <c r="H122" s="6680"/>
      <c r="I122" s="6680"/>
      <c r="J122" s="6680"/>
      <c r="K122" s="6680"/>
      <c r="L122" s="6680"/>
      <c r="M122" s="6680"/>
      <c r="N122" s="6680"/>
      <c r="O122" s="6680"/>
      <c r="P122" s="6680"/>
      <c r="Q122" s="6680"/>
      <c r="R122" s="6680"/>
      <c r="S122" s="6680"/>
      <c r="T122" s="6680"/>
      <c r="U122" s="6680"/>
      <c r="V122" s="6680"/>
      <c r="W122" s="6680"/>
    </row>
    <row r="123" spans="1:43" s="2032" customFormat="1" ht="11.25" hidden="1" customHeight="1">
      <c r="A123" s="195"/>
      <c r="B123" s="195"/>
      <c r="Y123" s="1179"/>
      <c r="Z123" s="1179"/>
      <c r="AA123" s="1179"/>
      <c r="AB123" s="1179"/>
      <c r="AC123" s="1179"/>
      <c r="AD123" s="1179"/>
      <c r="AE123" s="1179"/>
      <c r="AF123" s="1179"/>
      <c r="AG123" s="1179"/>
      <c r="AH123" s="1179"/>
      <c r="AI123" s="1179"/>
      <c r="AJ123" s="1179"/>
      <c r="AK123" s="1179"/>
      <c r="AL123" s="1179"/>
      <c r="AM123" s="1179"/>
      <c r="AN123" s="1179"/>
      <c r="AO123" s="1179"/>
      <c r="AP123" s="1179"/>
      <c r="AQ123" s="1179"/>
    </row>
    <row r="124" spans="1:43" s="2032" customFormat="1" ht="17.25" hidden="1" customHeight="1">
      <c r="A124" s="245"/>
      <c r="C124" s="130"/>
      <c r="D124" s="6643">
        <v>1</v>
      </c>
      <c r="E124" s="6645" t="s">
        <v>342</v>
      </c>
      <c r="F124" s="6647" t="s">
        <v>56</v>
      </c>
      <c r="G124" s="6645"/>
      <c r="H124" s="6650"/>
      <c r="I124" s="6652"/>
      <c r="J124" s="6654"/>
      <c r="K124" s="6637"/>
      <c r="L124" s="6637"/>
      <c r="M124" s="6637"/>
      <c r="N124" s="6639"/>
      <c r="O124" s="6637"/>
      <c r="P124" s="6637"/>
      <c r="Q124" s="6637"/>
      <c r="R124" s="6642"/>
      <c r="S124" s="6637"/>
      <c r="T124" s="1380"/>
      <c r="U124" s="1380"/>
      <c r="V124" s="1382"/>
      <c r="W124" s="1215"/>
      <c r="Y124" s="1186"/>
      <c r="Z124" s="1186"/>
      <c r="AA124" s="1186"/>
      <c r="AB124" s="1186"/>
      <c r="AC124" s="1186" t="s">
        <v>343</v>
      </c>
      <c r="AD124" s="1186" t="s">
        <v>344</v>
      </c>
      <c r="AE124" s="1186" t="s">
        <v>345</v>
      </c>
      <c r="AF124" s="1186" t="s">
        <v>346</v>
      </c>
      <c r="AG124" s="1186"/>
      <c r="AH124" s="1186" t="str">
        <f>IF($E$124=0,"",$E$124)</f>
        <v>Тариф на питьевую воду (питьевое водоснабжение)</v>
      </c>
      <c r="AI124" s="1186" t="str">
        <f>IF($G$124=0,"",$G$124)</f>
        <v/>
      </c>
      <c r="AJ124" s="1186" t="str">
        <f>IF($J$124=0,"",$J$124)</f>
        <v/>
      </c>
      <c r="AK124" s="1186" t="str">
        <f>IF($K$124="нет","без дифференциации",IF($N$124=0,"",$N$124))</f>
        <v/>
      </c>
      <c r="AL124" s="1186" t="str">
        <f>IF($O$124="нет","без дифференциации",IF($R$124=0,"",$R$124))</f>
        <v/>
      </c>
      <c r="AM124" s="1186" t="str">
        <f>IF($S$124="нет","без дифференциации",IF($V$124=0,"",$V$124))</f>
        <v/>
      </c>
      <c r="AN124" s="1186">
        <f>$I$124</f>
        <v>0</v>
      </c>
      <c r="AO124" s="1186" t="str">
        <f>$I$124&amp;"."&amp;$M$124</f>
        <v>.</v>
      </c>
      <c r="AP124" s="1186" t="str">
        <f>$I$124&amp;"."&amp;$M$124&amp;"."&amp;$Q$124</f>
        <v>..</v>
      </c>
      <c r="AQ124" s="1186" t="str">
        <f>$I$124&amp;"."&amp;$M$124&amp;"."&amp;$Q$124&amp;"."&amp;$U$124</f>
        <v>...</v>
      </c>
    </row>
    <row r="125" spans="1:43" s="2032" customFormat="1" ht="17.25" hidden="1" customHeight="1">
      <c r="A125" s="245"/>
      <c r="C125" s="244"/>
      <c r="D125" s="6643"/>
      <c r="E125" s="6645"/>
      <c r="F125" s="6648"/>
      <c r="G125" s="6645"/>
      <c r="H125" s="6651"/>
      <c r="I125" s="6653"/>
      <c r="J125" s="6655"/>
      <c r="K125" s="6638"/>
      <c r="L125" s="6638"/>
      <c r="M125" s="6638"/>
      <c r="N125" s="6640"/>
      <c r="O125" s="6638"/>
      <c r="P125" s="6638"/>
      <c r="Q125" s="6638"/>
      <c r="R125" s="6641"/>
      <c r="S125" s="6638"/>
      <c r="T125" s="1216"/>
      <c r="U125" s="1216"/>
      <c r="V125" s="1216"/>
      <c r="W125" s="1217"/>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row>
    <row r="126" spans="1:43" s="2033" customFormat="1" ht="17.25" hidden="1" customHeight="1">
      <c r="A126" s="245"/>
      <c r="C126" s="130"/>
      <c r="D126" s="6643"/>
      <c r="E126" s="6645"/>
      <c r="F126" s="6648"/>
      <c r="G126" s="6645"/>
      <c r="H126" s="6651"/>
      <c r="I126" s="6653"/>
      <c r="J126" s="6656"/>
      <c r="K126" s="6638"/>
      <c r="L126" s="6638"/>
      <c r="M126" s="6638"/>
      <c r="N126" s="6641"/>
      <c r="O126" s="6638"/>
      <c r="P126" s="1381"/>
      <c r="Q126" s="1216"/>
      <c r="R126" s="1216"/>
      <c r="S126" s="256"/>
      <c r="T126" s="256"/>
      <c r="U126" s="256"/>
      <c r="V126" s="256"/>
      <c r="W126" s="1217"/>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row>
    <row r="127" spans="1:43" s="2033" customFormat="1" ht="17.25" hidden="1" customHeight="1">
      <c r="A127" s="245"/>
      <c r="C127" s="244"/>
      <c r="D127" s="6643"/>
      <c r="E127" s="6645"/>
      <c r="F127" s="6648"/>
      <c r="G127" s="6645"/>
      <c r="H127" s="6651"/>
      <c r="I127" s="6653"/>
      <c r="J127" s="6656"/>
      <c r="K127" s="6638"/>
      <c r="L127" s="1216"/>
      <c r="M127" s="1216"/>
      <c r="N127" s="1216"/>
      <c r="O127" s="1216"/>
      <c r="P127" s="1216"/>
      <c r="Q127" s="1216"/>
      <c r="R127" s="1216"/>
      <c r="S127" s="256"/>
      <c r="T127" s="256"/>
      <c r="U127" s="256"/>
      <c r="V127" s="256"/>
      <c r="W127" s="1217"/>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row>
    <row r="128" spans="1:43" s="2032" customFormat="1" ht="17.25" hidden="1" customHeight="1">
      <c r="A128" s="245"/>
      <c r="C128" s="244"/>
      <c r="D128" s="6644"/>
      <c r="E128" s="6646"/>
      <c r="F128" s="6649"/>
      <c r="G128" s="6646"/>
      <c r="H128" s="1218"/>
      <c r="I128" s="1219"/>
      <c r="J128" s="1219"/>
      <c r="K128" s="1219"/>
      <c r="L128" s="1219"/>
      <c r="M128" s="1219"/>
      <c r="N128" s="1219"/>
      <c r="O128" s="1219"/>
      <c r="P128" s="1219"/>
      <c r="Q128" s="1219"/>
      <c r="R128" s="1219"/>
      <c r="S128" s="1220"/>
      <c r="T128" s="1220"/>
      <c r="U128" s="1220"/>
      <c r="V128" s="1220"/>
      <c r="W128" s="1221"/>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row>
    <row r="129" spans="1:43" s="2032" customFormat="1" ht="17.25" hidden="1" customHeight="1">
      <c r="A129" s="245"/>
      <c r="C129" s="130"/>
      <c r="D129" s="6643">
        <v>2</v>
      </c>
      <c r="E129" s="6645" t="s">
        <v>347</v>
      </c>
      <c r="F129" s="6647" t="s">
        <v>56</v>
      </c>
      <c r="G129" s="6645"/>
      <c r="H129" s="6650"/>
      <c r="I129" s="6652"/>
      <c r="J129" s="6654"/>
      <c r="K129" s="6637"/>
      <c r="L129" s="6637"/>
      <c r="M129" s="6637"/>
      <c r="N129" s="6639"/>
      <c r="O129" s="6637"/>
      <c r="P129" s="6637"/>
      <c r="Q129" s="6637"/>
      <c r="R129" s="6642"/>
      <c r="S129" s="6637"/>
      <c r="T129" s="1356"/>
      <c r="U129" s="1356"/>
      <c r="V129" s="1358"/>
      <c r="W129" s="1215"/>
      <c r="X129" s="1186"/>
      <c r="Y129" s="1186"/>
      <c r="Z129" s="1186"/>
      <c r="AA129" s="1186"/>
      <c r="AB129" s="1186"/>
      <c r="AC129" s="1186" t="s">
        <v>348</v>
      </c>
      <c r="AD129" s="1186" t="s">
        <v>349</v>
      </c>
      <c r="AE129" s="1186" t="s">
        <v>350</v>
      </c>
      <c r="AF129" s="1186" t="s">
        <v>351</v>
      </c>
      <c r="AG129" s="1186"/>
      <c r="AH129" s="1186" t="str">
        <f>IF($E$129=0,"",$E$129)</f>
        <v>Тариф на техническую воду</v>
      </c>
      <c r="AI129" s="1186" t="str">
        <f>IF($G$129=0,"",$G$129)</f>
        <v/>
      </c>
      <c r="AJ129" s="1186" t="str">
        <f>IF($J$129=0,"",$J$129)</f>
        <v/>
      </c>
      <c r="AK129" s="1186" t="str">
        <f>IF($K$129="нет","без дифференциации",IF($N$129=0,"",$N$129))</f>
        <v/>
      </c>
      <c r="AL129" s="1186" t="str">
        <f>IF($O$129="нет","без дифференциации",IF($R$129=0,"",$R$129))</f>
        <v/>
      </c>
      <c r="AM129" s="1186" t="str">
        <f>IF($S$129="нет","без дифференциации",IF($V$129=0,"",$V$129))</f>
        <v/>
      </c>
      <c r="AN129" s="1681">
        <f>$I$129</f>
        <v>0</v>
      </c>
      <c r="AO129" s="1186" t="str">
        <f>$I$129&amp;"."&amp;$M$129</f>
        <v>.</v>
      </c>
      <c r="AP129" s="1179" t="str">
        <f>$I$129&amp;"."&amp;$M$129&amp;"."&amp;$Q$129</f>
        <v>..</v>
      </c>
      <c r="AQ129" s="1179" t="str">
        <f>$I$129&amp;"."&amp;$M$129&amp;"."&amp;$Q$129&amp;"."&amp;$U$129</f>
        <v>...</v>
      </c>
    </row>
    <row r="130" spans="1:43" s="2032" customFormat="1" ht="17.25" hidden="1" customHeight="1">
      <c r="A130" s="245"/>
      <c r="C130" s="244"/>
      <c r="D130" s="6643"/>
      <c r="E130" s="6645"/>
      <c r="F130" s="6648"/>
      <c r="G130" s="6645"/>
      <c r="H130" s="6651"/>
      <c r="I130" s="6653"/>
      <c r="J130" s="6655"/>
      <c r="K130" s="6638"/>
      <c r="L130" s="6638"/>
      <c r="M130" s="6638"/>
      <c r="N130" s="6640"/>
      <c r="O130" s="6638"/>
      <c r="P130" s="6638"/>
      <c r="Q130" s="6638"/>
      <c r="R130" s="6641"/>
      <c r="S130" s="6638"/>
      <c r="T130" s="1216"/>
      <c r="U130" s="1216"/>
      <c r="V130" s="1216"/>
      <c r="W130" s="1217"/>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row>
    <row r="131" spans="1:43" s="2032" customFormat="1" ht="17.25" hidden="1" customHeight="1">
      <c r="A131" s="245"/>
      <c r="C131" s="244"/>
      <c r="D131" s="6644"/>
      <c r="E131" s="6646"/>
      <c r="F131" s="6648"/>
      <c r="G131" s="6646"/>
      <c r="H131" s="6651"/>
      <c r="I131" s="6653"/>
      <c r="J131" s="6656"/>
      <c r="K131" s="6638"/>
      <c r="L131" s="6638"/>
      <c r="M131" s="6638"/>
      <c r="N131" s="6641"/>
      <c r="O131" s="6638"/>
      <c r="P131" s="1357"/>
      <c r="Q131" s="1216"/>
      <c r="R131" s="1216"/>
      <c r="S131" s="256"/>
      <c r="T131" s="256"/>
      <c r="U131" s="256"/>
      <c r="V131" s="256"/>
      <c r="W131" s="1217"/>
      <c r="X131" s="1179"/>
      <c r="Y131" s="1179"/>
      <c r="Z131" s="1179"/>
      <c r="AA131" s="1179"/>
      <c r="AB131" s="1179"/>
      <c r="AC131" s="1179"/>
      <c r="AD131" s="1179"/>
      <c r="AE131" s="1179"/>
      <c r="AF131" s="1179"/>
      <c r="AG131" s="1179"/>
      <c r="AH131" s="1179"/>
      <c r="AI131" s="1179"/>
      <c r="AJ131" s="1179"/>
      <c r="AK131" s="1179"/>
      <c r="AL131" s="1179"/>
      <c r="AM131" s="1179"/>
      <c r="AN131" s="1179"/>
      <c r="AO131" s="1179"/>
      <c r="AP131" s="1179"/>
      <c r="AQ131" s="1179"/>
    </row>
    <row r="132" spans="1:43" s="2032" customFormat="1" ht="17.25" hidden="1" customHeight="1">
      <c r="A132" s="245"/>
      <c r="C132" s="244"/>
      <c r="D132" s="6644"/>
      <c r="E132" s="6646"/>
      <c r="F132" s="6648"/>
      <c r="G132" s="6646"/>
      <c r="H132" s="6651"/>
      <c r="I132" s="6653"/>
      <c r="J132" s="6656"/>
      <c r="K132" s="6638"/>
      <c r="L132" s="1216"/>
      <c r="M132" s="1216"/>
      <c r="N132" s="1216"/>
      <c r="O132" s="1216"/>
      <c r="P132" s="1216"/>
      <c r="Q132" s="1216"/>
      <c r="R132" s="1216"/>
      <c r="S132" s="256"/>
      <c r="T132" s="256"/>
      <c r="U132" s="256"/>
      <c r="V132" s="256"/>
      <c r="W132" s="1217"/>
      <c r="X132" s="1179"/>
      <c r="Y132" s="1179"/>
      <c r="Z132" s="1179"/>
      <c r="AA132" s="1179"/>
      <c r="AB132" s="1179"/>
      <c r="AC132" s="1179"/>
      <c r="AD132" s="1179"/>
      <c r="AE132" s="1179"/>
      <c r="AF132" s="1179"/>
      <c r="AG132" s="1179"/>
      <c r="AH132" s="1179"/>
      <c r="AI132" s="1179"/>
      <c r="AJ132" s="1179"/>
      <c r="AK132" s="1179"/>
      <c r="AL132" s="1179"/>
      <c r="AM132" s="1179"/>
      <c r="AN132" s="1179"/>
      <c r="AO132" s="1179"/>
      <c r="AP132" s="1179"/>
      <c r="AQ132" s="1179"/>
    </row>
    <row r="133" spans="1:43" s="2032" customFormat="1" ht="17.25" hidden="1" customHeight="1">
      <c r="A133" s="245"/>
      <c r="C133" s="244"/>
      <c r="D133" s="6644"/>
      <c r="E133" s="6646"/>
      <c r="F133" s="6649"/>
      <c r="G133" s="6646"/>
      <c r="H133" s="1218"/>
      <c r="I133" s="1219"/>
      <c r="J133" s="1219"/>
      <c r="K133" s="1219"/>
      <c r="L133" s="1219"/>
      <c r="M133" s="1219"/>
      <c r="N133" s="1219"/>
      <c r="O133" s="1219"/>
      <c r="P133" s="1219"/>
      <c r="Q133" s="1219"/>
      <c r="R133" s="1219"/>
      <c r="S133" s="1220"/>
      <c r="T133" s="1220"/>
      <c r="U133" s="1220"/>
      <c r="V133" s="1220"/>
      <c r="W133" s="1221"/>
      <c r="X133" s="1179"/>
      <c r="Y133" s="1179"/>
      <c r="Z133" s="1179"/>
      <c r="AA133" s="1179"/>
      <c r="AB133" s="1179"/>
      <c r="AC133" s="1179"/>
      <c r="AD133" s="1179"/>
      <c r="AE133" s="1179"/>
      <c r="AF133" s="1179"/>
      <c r="AG133" s="1179"/>
      <c r="AH133" s="1179"/>
      <c r="AI133" s="1179"/>
      <c r="AJ133" s="1179"/>
      <c r="AK133" s="1179"/>
      <c r="AL133" s="1179"/>
      <c r="AM133" s="1179"/>
      <c r="AN133" s="1179"/>
      <c r="AO133" s="1179"/>
      <c r="AP133" s="1179"/>
      <c r="AQ133" s="1179"/>
    </row>
    <row r="134" spans="1:43" s="2032" customFormat="1" ht="17.25" hidden="1" customHeight="1">
      <c r="A134" s="245"/>
      <c r="C134" s="130"/>
      <c r="D134" s="6643">
        <v>3</v>
      </c>
      <c r="E134" s="6645" t="s">
        <v>352</v>
      </c>
      <c r="F134" s="6647" t="s">
        <v>56</v>
      </c>
      <c r="G134" s="6645"/>
      <c r="H134" s="6650"/>
      <c r="I134" s="6652"/>
      <c r="J134" s="6654"/>
      <c r="K134" s="6637"/>
      <c r="L134" s="6637"/>
      <c r="M134" s="6637"/>
      <c r="N134" s="6639"/>
      <c r="O134" s="6637"/>
      <c r="P134" s="6637"/>
      <c r="Q134" s="6637"/>
      <c r="R134" s="6642"/>
      <c r="S134" s="6637"/>
      <c r="T134" s="1356"/>
      <c r="U134" s="1356"/>
      <c r="V134" s="1358"/>
      <c r="W134" s="1215"/>
      <c r="X134" s="1186"/>
      <c r="Y134" s="1186"/>
      <c r="Z134" s="1186"/>
      <c r="AA134" s="1186"/>
      <c r="AB134" s="1186"/>
      <c r="AC134" s="1186" t="s">
        <v>353</v>
      </c>
      <c r="AD134" s="1186" t="s">
        <v>354</v>
      </c>
      <c r="AE134" s="1186" t="s">
        <v>355</v>
      </c>
      <c r="AF134" s="1186" t="s">
        <v>356</v>
      </c>
      <c r="AG134" s="1186"/>
      <c r="AH134" s="1186" t="str">
        <f>IF($E$134=0,"",$E$134)</f>
        <v>Тариф на транспортировку воды</v>
      </c>
      <c r="AI134" s="1186" t="str">
        <f>IF($G$134=0,"",$G$134)</f>
        <v/>
      </c>
      <c r="AJ134" s="1186" t="str">
        <f>IF($J$134=0,"",$J$134)</f>
        <v/>
      </c>
      <c r="AK134" s="1186" t="str">
        <f>IF($K$134="нет","без дифференциации",IF($N$134=0,"",$N$134))</f>
        <v/>
      </c>
      <c r="AL134" s="1186" t="str">
        <f>IF($O$134="нет","без дифференциации",IF($R$134=0,"",$R$134))</f>
        <v/>
      </c>
      <c r="AM134" s="1186" t="str">
        <f>IF($S$134="нет","без дифференциации",IF($V$134=0,"",$V$134))</f>
        <v/>
      </c>
      <c r="AN134" s="1681">
        <f>$I$134</f>
        <v>0</v>
      </c>
      <c r="AO134" s="1186" t="str">
        <f>$I$134&amp;"."&amp;$M$134</f>
        <v>.</v>
      </c>
      <c r="AP134" s="1179" t="str">
        <f>$I$134&amp;"."&amp;$M$134&amp;"."&amp;$Q$134</f>
        <v>..</v>
      </c>
      <c r="AQ134" s="1179" t="str">
        <f>$I$134&amp;"."&amp;$M$134&amp;"."&amp;$Q$134&amp;"."&amp;$U$134</f>
        <v>...</v>
      </c>
    </row>
    <row r="135" spans="1:43" s="2032" customFormat="1" ht="17.25" hidden="1" customHeight="1">
      <c r="A135" s="245"/>
      <c r="C135" s="244"/>
      <c r="D135" s="6643"/>
      <c r="E135" s="6645"/>
      <c r="F135" s="6648"/>
      <c r="G135" s="6645"/>
      <c r="H135" s="6651"/>
      <c r="I135" s="6653"/>
      <c r="J135" s="6655"/>
      <c r="K135" s="6638"/>
      <c r="L135" s="6638"/>
      <c r="M135" s="6638"/>
      <c r="N135" s="6640"/>
      <c r="O135" s="6638"/>
      <c r="P135" s="6638"/>
      <c r="Q135" s="6638"/>
      <c r="R135" s="6641"/>
      <c r="S135" s="6638"/>
      <c r="T135" s="1216"/>
      <c r="U135" s="1216"/>
      <c r="V135" s="1216"/>
      <c r="W135" s="1217"/>
      <c r="X135" s="1179"/>
      <c r="Y135" s="1179"/>
      <c r="Z135" s="1179"/>
      <c r="AA135" s="1179"/>
      <c r="AB135" s="1179"/>
      <c r="AC135" s="1179"/>
      <c r="AD135" s="1179"/>
      <c r="AE135" s="1179"/>
      <c r="AF135" s="1179"/>
      <c r="AG135" s="1179"/>
      <c r="AH135" s="1179"/>
      <c r="AI135" s="1179"/>
      <c r="AJ135" s="1179"/>
      <c r="AK135" s="1179"/>
      <c r="AL135" s="1179"/>
      <c r="AM135" s="1179"/>
      <c r="AN135" s="1179"/>
      <c r="AO135" s="1179"/>
      <c r="AP135" s="1179"/>
      <c r="AQ135" s="1179"/>
    </row>
    <row r="136" spans="1:43" s="2032" customFormat="1" ht="17.25" hidden="1" customHeight="1">
      <c r="A136" s="245"/>
      <c r="C136" s="244"/>
      <c r="D136" s="6644"/>
      <c r="E136" s="6646"/>
      <c r="F136" s="6648"/>
      <c r="G136" s="6646"/>
      <c r="H136" s="6651"/>
      <c r="I136" s="6653"/>
      <c r="J136" s="6656"/>
      <c r="K136" s="6638"/>
      <c r="L136" s="6638"/>
      <c r="M136" s="6638"/>
      <c r="N136" s="6641"/>
      <c r="O136" s="6638"/>
      <c r="P136" s="1357"/>
      <c r="Q136" s="1216"/>
      <c r="R136" s="1216"/>
      <c r="S136" s="256"/>
      <c r="T136" s="256"/>
      <c r="U136" s="256"/>
      <c r="V136" s="256"/>
      <c r="W136" s="1217"/>
      <c r="X136" s="1179"/>
      <c r="Y136" s="1179"/>
      <c r="Z136" s="1179"/>
      <c r="AA136" s="1179"/>
      <c r="AB136" s="1179"/>
      <c r="AC136" s="1179"/>
      <c r="AD136" s="1179"/>
      <c r="AE136" s="1179"/>
      <c r="AF136" s="1179"/>
      <c r="AG136" s="1179"/>
      <c r="AH136" s="1179"/>
      <c r="AI136" s="1179"/>
      <c r="AJ136" s="1179"/>
      <c r="AK136" s="1179"/>
      <c r="AL136" s="1179"/>
      <c r="AM136" s="1179"/>
      <c r="AN136" s="1179"/>
      <c r="AO136" s="1179"/>
      <c r="AP136" s="1179"/>
      <c r="AQ136" s="1179"/>
    </row>
    <row r="137" spans="1:43" s="2032" customFormat="1" ht="17.25" hidden="1" customHeight="1">
      <c r="A137" s="245"/>
      <c r="C137" s="244"/>
      <c r="D137" s="6644"/>
      <c r="E137" s="6646"/>
      <c r="F137" s="6648"/>
      <c r="G137" s="6646"/>
      <c r="H137" s="6651"/>
      <c r="I137" s="6653"/>
      <c r="J137" s="6656"/>
      <c r="K137" s="6638"/>
      <c r="L137" s="1216"/>
      <c r="M137" s="1216"/>
      <c r="N137" s="1216"/>
      <c r="O137" s="1216"/>
      <c r="P137" s="1216"/>
      <c r="Q137" s="1216"/>
      <c r="R137" s="1216"/>
      <c r="S137" s="256"/>
      <c r="T137" s="256"/>
      <c r="U137" s="256"/>
      <c r="V137" s="256"/>
      <c r="W137" s="1217"/>
      <c r="X137" s="1179"/>
      <c r="Y137" s="1179"/>
      <c r="Z137" s="1179"/>
      <c r="AA137" s="1179"/>
      <c r="AB137" s="1179"/>
      <c r="AC137" s="1179"/>
      <c r="AD137" s="1179"/>
      <c r="AE137" s="1179"/>
      <c r="AF137" s="1179"/>
      <c r="AG137" s="1179"/>
      <c r="AH137" s="1179"/>
      <c r="AI137" s="1179"/>
      <c r="AJ137" s="1179"/>
      <c r="AK137" s="1179"/>
      <c r="AL137" s="1179"/>
      <c r="AM137" s="1179"/>
      <c r="AN137" s="1179"/>
      <c r="AO137" s="1179"/>
      <c r="AP137" s="1179"/>
      <c r="AQ137" s="1179"/>
    </row>
    <row r="138" spans="1:43" s="2032" customFormat="1" ht="17.25" hidden="1" customHeight="1">
      <c r="A138" s="245"/>
      <c r="C138" s="244"/>
      <c r="D138" s="6644"/>
      <c r="E138" s="6646"/>
      <c r="F138" s="6649"/>
      <c r="G138" s="6646"/>
      <c r="H138" s="1218"/>
      <c r="I138" s="1219"/>
      <c r="J138" s="1219"/>
      <c r="K138" s="1219"/>
      <c r="L138" s="1219"/>
      <c r="M138" s="1219"/>
      <c r="N138" s="1219"/>
      <c r="O138" s="1219"/>
      <c r="P138" s="1219"/>
      <c r="Q138" s="1219"/>
      <c r="R138" s="1219"/>
      <c r="S138" s="1220"/>
      <c r="T138" s="1220"/>
      <c r="U138" s="1220"/>
      <c r="V138" s="1220"/>
      <c r="W138" s="1221"/>
      <c r="X138" s="1179"/>
      <c r="Y138" s="1179"/>
      <c r="Z138" s="1179"/>
      <c r="AA138" s="1179"/>
      <c r="AB138" s="1179"/>
      <c r="AC138" s="1179"/>
      <c r="AD138" s="1179"/>
      <c r="AE138" s="1179"/>
      <c r="AF138" s="1179"/>
      <c r="AG138" s="1179"/>
      <c r="AH138" s="1179"/>
      <c r="AI138" s="1179"/>
      <c r="AJ138" s="1179"/>
      <c r="AK138" s="1179"/>
      <c r="AL138" s="1179"/>
      <c r="AM138" s="1179"/>
      <c r="AN138" s="1179"/>
      <c r="AO138" s="1179"/>
      <c r="AP138" s="1179"/>
      <c r="AQ138" s="1179"/>
    </row>
    <row r="139" spans="1:43" s="2032" customFormat="1" ht="17.25" hidden="1" customHeight="1">
      <c r="A139" s="245"/>
      <c r="C139" s="130"/>
      <c r="D139" s="6643">
        <v>4</v>
      </c>
      <c r="E139" s="6645" t="s">
        <v>357</v>
      </c>
      <c r="F139" s="6647" t="s">
        <v>56</v>
      </c>
      <c r="G139" s="6645"/>
      <c r="H139" s="6650"/>
      <c r="I139" s="6652"/>
      <c r="J139" s="6654"/>
      <c r="K139" s="6637"/>
      <c r="L139" s="6637"/>
      <c r="M139" s="6637"/>
      <c r="N139" s="6639"/>
      <c r="O139" s="6637"/>
      <c r="P139" s="6637"/>
      <c r="Q139" s="6637"/>
      <c r="R139" s="6642"/>
      <c r="S139" s="6637"/>
      <c r="T139" s="1356"/>
      <c r="U139" s="1356"/>
      <c r="V139" s="1358"/>
      <c r="W139" s="1215"/>
      <c r="X139" s="1186"/>
      <c r="Y139" s="1186"/>
      <c r="Z139" s="1186"/>
      <c r="AA139" s="1186"/>
      <c r="AB139" s="1186"/>
      <c r="AC139" s="1186" t="s">
        <v>358</v>
      </c>
      <c r="AD139" s="1186" t="s">
        <v>359</v>
      </c>
      <c r="AE139" s="1186" t="s">
        <v>360</v>
      </c>
      <c r="AF139" s="1186" t="s">
        <v>361</v>
      </c>
      <c r="AG139" s="1186"/>
      <c r="AH139" s="1186" t="str">
        <f>IF($E$139=0,"",$E$139)</f>
        <v>Тариф на подвоз воды</v>
      </c>
      <c r="AI139" s="1186" t="str">
        <f>IF($G$139=0,"",$G$139)</f>
        <v/>
      </c>
      <c r="AJ139" s="1186" t="str">
        <f>IF($J$139=0,"",$J$139)</f>
        <v/>
      </c>
      <c r="AK139" s="1186" t="str">
        <f>IF($K$139="нет","без дифференциации",IF($N$139=0,"",$N$139))</f>
        <v/>
      </c>
      <c r="AL139" s="1186" t="str">
        <f>IF($O$139="нет","без дифференциации",IF($R$139=0,"",$R$139))</f>
        <v/>
      </c>
      <c r="AM139" s="1186" t="str">
        <f>IF($S$139="нет","без дифференциации",IF($V$139=0,"",$V$139))</f>
        <v/>
      </c>
      <c r="AN139" s="1681">
        <f>$I$139</f>
        <v>0</v>
      </c>
      <c r="AO139" s="1186" t="str">
        <f>$I$139&amp;"."&amp;$M$139</f>
        <v>.</v>
      </c>
      <c r="AP139" s="1179" t="str">
        <f>$I$139&amp;"."&amp;$M$139&amp;"."&amp;$Q$139</f>
        <v>..</v>
      </c>
      <c r="AQ139" s="1179" t="str">
        <f>$I$139&amp;"."&amp;$M$139&amp;"."&amp;$Q$139&amp;"."&amp;$U$139</f>
        <v>...</v>
      </c>
    </row>
    <row r="140" spans="1:43" s="2032" customFormat="1" ht="17.25" hidden="1" customHeight="1">
      <c r="A140" s="245"/>
      <c r="C140" s="244"/>
      <c r="D140" s="6643"/>
      <c r="E140" s="6645"/>
      <c r="F140" s="6648"/>
      <c r="G140" s="6645"/>
      <c r="H140" s="6651"/>
      <c r="I140" s="6653"/>
      <c r="J140" s="6655"/>
      <c r="K140" s="6638"/>
      <c r="L140" s="6638"/>
      <c r="M140" s="6638"/>
      <c r="N140" s="6640"/>
      <c r="O140" s="6638"/>
      <c r="P140" s="6638"/>
      <c r="Q140" s="6638"/>
      <c r="R140" s="6641"/>
      <c r="S140" s="6638"/>
      <c r="T140" s="1216"/>
      <c r="U140" s="1216"/>
      <c r="V140" s="1216"/>
      <c r="W140" s="1217"/>
      <c r="X140" s="1179"/>
      <c r="Y140" s="1179"/>
      <c r="Z140" s="1179"/>
      <c r="AA140" s="1179"/>
      <c r="AB140" s="1179"/>
      <c r="AC140" s="1179"/>
      <c r="AD140" s="1179"/>
      <c r="AE140" s="1179"/>
      <c r="AF140" s="1179"/>
      <c r="AG140" s="1179"/>
      <c r="AH140" s="1179"/>
      <c r="AI140" s="1179"/>
      <c r="AJ140" s="1179"/>
      <c r="AK140" s="1179"/>
      <c r="AL140" s="1179"/>
      <c r="AM140" s="1179"/>
      <c r="AN140" s="1179"/>
      <c r="AO140" s="1179"/>
      <c r="AP140" s="1179"/>
      <c r="AQ140" s="1179"/>
    </row>
    <row r="141" spans="1:43" s="2032" customFormat="1" ht="17.25" hidden="1" customHeight="1">
      <c r="A141" s="245"/>
      <c r="C141" s="244"/>
      <c r="D141" s="6644"/>
      <c r="E141" s="6646"/>
      <c r="F141" s="6648"/>
      <c r="G141" s="6646"/>
      <c r="H141" s="6651"/>
      <c r="I141" s="6653"/>
      <c r="J141" s="6656"/>
      <c r="K141" s="6638"/>
      <c r="L141" s="6638"/>
      <c r="M141" s="6638"/>
      <c r="N141" s="6641"/>
      <c r="O141" s="6638"/>
      <c r="P141" s="1357"/>
      <c r="Q141" s="1216"/>
      <c r="R141" s="1216"/>
      <c r="S141" s="256"/>
      <c r="T141" s="256"/>
      <c r="U141" s="256"/>
      <c r="V141" s="256"/>
      <c r="W141" s="1217"/>
      <c r="X141" s="1179"/>
      <c r="Y141" s="1179"/>
      <c r="Z141" s="1179"/>
      <c r="AA141" s="1179"/>
      <c r="AB141" s="1179"/>
      <c r="AC141" s="1179"/>
      <c r="AD141" s="1179"/>
      <c r="AE141" s="1179"/>
      <c r="AF141" s="1179"/>
      <c r="AG141" s="1179"/>
      <c r="AH141" s="1179"/>
      <c r="AI141" s="1179"/>
      <c r="AJ141" s="1179"/>
      <c r="AK141" s="1179"/>
      <c r="AL141" s="1179"/>
      <c r="AM141" s="1179"/>
      <c r="AN141" s="1179"/>
      <c r="AO141" s="1179"/>
      <c r="AP141" s="1179"/>
      <c r="AQ141" s="1179"/>
    </row>
    <row r="142" spans="1:43" s="2032" customFormat="1" ht="17.25" hidden="1" customHeight="1">
      <c r="A142" s="245"/>
      <c r="C142" s="244"/>
      <c r="D142" s="6644"/>
      <c r="E142" s="6646"/>
      <c r="F142" s="6648"/>
      <c r="G142" s="6646"/>
      <c r="H142" s="6651"/>
      <c r="I142" s="6653"/>
      <c r="J142" s="6656"/>
      <c r="K142" s="6638"/>
      <c r="L142" s="1216"/>
      <c r="M142" s="1216"/>
      <c r="N142" s="1216"/>
      <c r="O142" s="1216"/>
      <c r="P142" s="1216"/>
      <c r="Q142" s="1216"/>
      <c r="R142" s="1216"/>
      <c r="S142" s="256"/>
      <c r="T142" s="256"/>
      <c r="U142" s="256"/>
      <c r="V142" s="256"/>
      <c r="W142" s="1217"/>
      <c r="X142" s="1179"/>
      <c r="Y142" s="1179"/>
      <c r="Z142" s="1179"/>
      <c r="AA142" s="1179"/>
      <c r="AB142" s="1179"/>
      <c r="AC142" s="1179"/>
      <c r="AD142" s="1179"/>
      <c r="AE142" s="1179"/>
      <c r="AF142" s="1179"/>
      <c r="AG142" s="1179"/>
      <c r="AH142" s="1179"/>
      <c r="AI142" s="1179"/>
      <c r="AJ142" s="1179"/>
      <c r="AK142" s="1179"/>
      <c r="AL142" s="1179"/>
      <c r="AM142" s="1179"/>
      <c r="AN142" s="1179"/>
      <c r="AO142" s="1179"/>
      <c r="AP142" s="1179"/>
      <c r="AQ142" s="1179"/>
    </row>
    <row r="143" spans="1:43" s="2032" customFormat="1" ht="17.25" hidden="1" customHeight="1">
      <c r="A143" s="245"/>
      <c r="C143" s="244"/>
      <c r="D143" s="6644"/>
      <c r="E143" s="6646"/>
      <c r="F143" s="6649"/>
      <c r="G143" s="6646"/>
      <c r="H143" s="1218"/>
      <c r="I143" s="1219"/>
      <c r="J143" s="1219"/>
      <c r="K143" s="1219"/>
      <c r="L143" s="1219"/>
      <c r="M143" s="1219"/>
      <c r="N143" s="1219"/>
      <c r="O143" s="1219"/>
      <c r="P143" s="1219"/>
      <c r="Q143" s="1219"/>
      <c r="R143" s="1219"/>
      <c r="S143" s="1220"/>
      <c r="T143" s="1220"/>
      <c r="U143" s="1220"/>
      <c r="V143" s="1220"/>
      <c r="W143" s="1221"/>
      <c r="X143" s="1179"/>
      <c r="Y143" s="1179"/>
      <c r="Z143" s="1179"/>
      <c r="AA143" s="1179"/>
      <c r="AB143" s="1179"/>
      <c r="AC143" s="1179"/>
      <c r="AD143" s="1179"/>
      <c r="AE143" s="1179"/>
      <c r="AF143" s="1179"/>
      <c r="AG143" s="1179"/>
      <c r="AH143" s="1179"/>
      <c r="AI143" s="1179"/>
      <c r="AJ143" s="1179"/>
      <c r="AK143" s="1179"/>
      <c r="AL143" s="1179"/>
      <c r="AM143" s="1179"/>
      <c r="AN143" s="1179"/>
      <c r="AO143" s="1179"/>
      <c r="AP143" s="1179"/>
      <c r="AQ143" s="1179"/>
    </row>
    <row r="144" spans="1:43" s="2032" customFormat="1" ht="17.25" hidden="1" customHeight="1">
      <c r="A144" s="245"/>
      <c r="C144" s="130"/>
      <c r="D144" s="6643">
        <v>5</v>
      </c>
      <c r="E144" s="6645" t="s">
        <v>362</v>
      </c>
      <c r="F144" s="6647" t="s">
        <v>56</v>
      </c>
      <c r="G144" s="6645"/>
      <c r="H144" s="6650"/>
      <c r="I144" s="6652"/>
      <c r="J144" s="6654"/>
      <c r="K144" s="6637"/>
      <c r="L144" s="6637"/>
      <c r="M144" s="6637"/>
      <c r="N144" s="6639"/>
      <c r="O144" s="6637"/>
      <c r="P144" s="6637"/>
      <c r="Q144" s="6637"/>
      <c r="R144" s="6642"/>
      <c r="S144" s="6637"/>
      <c r="T144" s="1380"/>
      <c r="U144" s="1380"/>
      <c r="V144" s="1382"/>
      <c r="W144" s="1215"/>
      <c r="X144" s="1186"/>
      <c r="Y144" s="1186"/>
      <c r="Z144" s="1186"/>
      <c r="AA144" s="1186"/>
      <c r="AB144" s="1186"/>
      <c r="AC144" s="1186" t="s">
        <v>363</v>
      </c>
      <c r="AD144" s="1186" t="s">
        <v>364</v>
      </c>
      <c r="AE144" s="1186" t="s">
        <v>365</v>
      </c>
      <c r="AF144" s="1186" t="s">
        <v>366</v>
      </c>
      <c r="AG144" s="1186"/>
      <c r="AH144" s="1186" t="str">
        <f>IF($E$144=0,"",$E$144)</f>
        <v>Тариф на подключение (технологическое присоединение) к централизованной системе холодного водоснабжения</v>
      </c>
      <c r="AI144" s="1186" t="str">
        <f>IF($G$144=0,"",$G$144)</f>
        <v/>
      </c>
      <c r="AJ144" s="1186" t="str">
        <f>IF($J$144=0,"",$J$144)</f>
        <v/>
      </c>
      <c r="AK144" s="1186" t="str">
        <f>IF($K$144="нет","без дифференциации",IF($N$144=0,"",$N$144))</f>
        <v/>
      </c>
      <c r="AL144" s="1186" t="str">
        <f>IF($O$144="нет","без дифференциации",IF($R$144=0,"",$R$144))</f>
        <v/>
      </c>
      <c r="AM144" s="1186" t="str">
        <f>IF($S$144="нет","без дифференциации",IF($V$144=0,"",$V$144))</f>
        <v/>
      </c>
      <c r="AN144" s="1681">
        <f>$I$144</f>
        <v>0</v>
      </c>
      <c r="AO144" s="1186" t="str">
        <f>$I$144&amp;"."&amp;$M$144</f>
        <v>.</v>
      </c>
      <c r="AP144" s="1179" t="str">
        <f>$I$144&amp;"."&amp;$M$144&amp;"."&amp;$Q$144</f>
        <v>..</v>
      </c>
      <c r="AQ144" s="1179" t="str">
        <f>$I$144&amp;"."&amp;$M$144&amp;"."&amp;$Q$144&amp;"."&amp;$U$144</f>
        <v>...</v>
      </c>
    </row>
    <row r="145" spans="1:43" s="2032" customFormat="1" ht="17.25" hidden="1" customHeight="1">
      <c r="A145" s="245"/>
      <c r="C145" s="244"/>
      <c r="D145" s="6643"/>
      <c r="E145" s="6645"/>
      <c r="F145" s="6648"/>
      <c r="G145" s="6645"/>
      <c r="H145" s="6651"/>
      <c r="I145" s="6653"/>
      <c r="J145" s="6655"/>
      <c r="K145" s="6638"/>
      <c r="L145" s="6638"/>
      <c r="M145" s="6638"/>
      <c r="N145" s="6640"/>
      <c r="O145" s="6638"/>
      <c r="P145" s="6638"/>
      <c r="Q145" s="6638"/>
      <c r="R145" s="6641"/>
      <c r="S145" s="6638"/>
      <c r="T145" s="1216"/>
      <c r="U145" s="1216"/>
      <c r="V145" s="1216"/>
      <c r="W145" s="1217"/>
      <c r="X145" s="1179"/>
      <c r="Y145" s="1179"/>
      <c r="Z145" s="1179"/>
      <c r="AA145" s="1179"/>
      <c r="AB145" s="1179"/>
      <c r="AC145" s="1179"/>
      <c r="AD145" s="1179"/>
      <c r="AE145" s="1179"/>
      <c r="AF145" s="1179"/>
      <c r="AG145" s="1179"/>
      <c r="AH145" s="1179"/>
      <c r="AI145" s="1179"/>
      <c r="AJ145" s="1179"/>
      <c r="AK145" s="1179"/>
      <c r="AL145" s="1179"/>
      <c r="AM145" s="1179"/>
      <c r="AN145" s="1179"/>
      <c r="AO145" s="1179"/>
      <c r="AP145" s="1179"/>
      <c r="AQ145" s="1179"/>
    </row>
    <row r="146" spans="1:43" s="2032" customFormat="1" ht="17.25" hidden="1" customHeight="1">
      <c r="A146" s="245"/>
      <c r="C146" s="244"/>
      <c r="D146" s="6644"/>
      <c r="E146" s="6646"/>
      <c r="F146" s="6648"/>
      <c r="G146" s="6646"/>
      <c r="H146" s="6651"/>
      <c r="I146" s="6653"/>
      <c r="J146" s="6656"/>
      <c r="K146" s="6638"/>
      <c r="L146" s="6638"/>
      <c r="M146" s="6638"/>
      <c r="N146" s="6641"/>
      <c r="O146" s="6638"/>
      <c r="P146" s="1381"/>
      <c r="Q146" s="1216"/>
      <c r="R146" s="1216"/>
      <c r="S146" s="256"/>
      <c r="T146" s="256"/>
      <c r="U146" s="256"/>
      <c r="V146" s="256"/>
      <c r="W146" s="1217"/>
      <c r="X146" s="1179"/>
      <c r="Y146" s="1179"/>
      <c r="Z146" s="1179"/>
      <c r="AA146" s="1179"/>
      <c r="AB146" s="1179"/>
      <c r="AC146" s="1179"/>
      <c r="AD146" s="1179"/>
      <c r="AE146" s="1179"/>
      <c r="AF146" s="1179"/>
      <c r="AG146" s="1179"/>
      <c r="AH146" s="1179"/>
      <c r="AI146" s="1179"/>
      <c r="AJ146" s="1179"/>
      <c r="AK146" s="1179"/>
      <c r="AL146" s="1179"/>
      <c r="AM146" s="1179"/>
      <c r="AN146" s="1179"/>
      <c r="AO146" s="1179"/>
      <c r="AP146" s="1179"/>
      <c r="AQ146" s="1179"/>
    </row>
    <row r="147" spans="1:43" s="2032" customFormat="1" ht="17.25" hidden="1" customHeight="1">
      <c r="A147" s="245"/>
      <c r="C147" s="244"/>
      <c r="D147" s="6644"/>
      <c r="E147" s="6646"/>
      <c r="F147" s="6648"/>
      <c r="G147" s="6646"/>
      <c r="H147" s="6651"/>
      <c r="I147" s="6653"/>
      <c r="J147" s="6656"/>
      <c r="K147" s="6638"/>
      <c r="L147" s="1216"/>
      <c r="M147" s="1216"/>
      <c r="N147" s="1216"/>
      <c r="O147" s="1216"/>
      <c r="P147" s="1216"/>
      <c r="Q147" s="1216"/>
      <c r="R147" s="1216"/>
      <c r="S147" s="256"/>
      <c r="T147" s="256"/>
      <c r="U147" s="256"/>
      <c r="V147" s="256"/>
      <c r="W147" s="1217"/>
      <c r="X147" s="1179"/>
      <c r="Y147" s="1179"/>
      <c r="Z147" s="1179"/>
      <c r="AA147" s="1179"/>
      <c r="AB147" s="1179"/>
      <c r="AC147" s="1179"/>
      <c r="AD147" s="1179"/>
      <c r="AE147" s="1179"/>
      <c r="AF147" s="1179"/>
      <c r="AG147" s="1179"/>
      <c r="AH147" s="1179"/>
      <c r="AI147" s="1179"/>
      <c r="AJ147" s="1179"/>
      <c r="AK147" s="1179"/>
      <c r="AL147" s="1179"/>
      <c r="AM147" s="1179"/>
      <c r="AN147" s="1179"/>
      <c r="AO147" s="1179"/>
      <c r="AP147" s="1179"/>
      <c r="AQ147" s="1179"/>
    </row>
    <row r="148" spans="1:43" s="2032" customFormat="1" ht="17.25" hidden="1" customHeight="1">
      <c r="A148" s="245"/>
      <c r="C148" s="244"/>
      <c r="D148" s="6644"/>
      <c r="E148" s="6646"/>
      <c r="F148" s="6649"/>
      <c r="G148" s="6646"/>
      <c r="H148" s="1218"/>
      <c r="I148" s="1219"/>
      <c r="J148" s="1219"/>
      <c r="K148" s="1219"/>
      <c r="L148" s="1219"/>
      <c r="M148" s="1219"/>
      <c r="N148" s="1219"/>
      <c r="O148" s="1219"/>
      <c r="P148" s="1219"/>
      <c r="Q148" s="1219"/>
      <c r="R148" s="1219"/>
      <c r="S148" s="1220"/>
      <c r="T148" s="1220"/>
      <c r="U148" s="1220"/>
      <c r="V148" s="1220"/>
      <c r="W148" s="1221"/>
      <c r="X148" s="1179"/>
      <c r="Y148" s="1179"/>
      <c r="Z148" s="1179"/>
      <c r="AA148" s="1179"/>
      <c r="AB148" s="1179"/>
      <c r="AC148" s="1179"/>
      <c r="AD148" s="1179"/>
      <c r="AE148" s="1179"/>
      <c r="AF148" s="1179"/>
      <c r="AG148" s="1179"/>
      <c r="AH148" s="1179"/>
      <c r="AI148" s="1179"/>
      <c r="AJ148" s="1179"/>
      <c r="AK148" s="1179"/>
      <c r="AL148" s="1179"/>
      <c r="AM148" s="1179"/>
      <c r="AN148" s="1179"/>
      <c r="AO148" s="1179"/>
      <c r="AP148" s="1179"/>
      <c r="AQ148" s="1179"/>
    </row>
    <row r="149" spans="1:43" s="2034" customFormat="1" ht="11.25" hidden="1" customHeight="1">
      <c r="A149" s="195"/>
      <c r="B149" s="195"/>
      <c r="Y149" s="1179"/>
      <c r="Z149" s="1179"/>
      <c r="AA149" s="1179"/>
      <c r="AB149" s="1179"/>
      <c r="AC149" s="1179"/>
      <c r="AD149" s="1179"/>
      <c r="AE149" s="1179"/>
      <c r="AF149" s="1179"/>
      <c r="AG149" s="1179"/>
      <c r="AH149" s="1179"/>
      <c r="AI149" s="1179"/>
      <c r="AJ149" s="1179"/>
      <c r="AK149" s="1179"/>
      <c r="AL149" s="1179"/>
      <c r="AM149" s="1179"/>
      <c r="AN149" s="1179"/>
      <c r="AO149" s="1179"/>
      <c r="AP149" s="1179"/>
      <c r="AQ149" s="1179"/>
    </row>
    <row r="150" spans="1:43" s="2034" customFormat="1" ht="17.25" hidden="1" customHeight="1">
      <c r="A150" s="245"/>
      <c r="C150" s="130"/>
      <c r="D150" s="6643">
        <v>1</v>
      </c>
      <c r="E150" s="6645" t="s">
        <v>367</v>
      </c>
      <c r="F150" s="6647" t="s">
        <v>56</v>
      </c>
      <c r="G150" s="6645"/>
      <c r="H150" s="6650"/>
      <c r="I150" s="6652"/>
      <c r="J150" s="6654"/>
      <c r="K150" s="6637"/>
      <c r="L150" s="6637"/>
      <c r="M150" s="6637"/>
      <c r="N150" s="6639"/>
      <c r="O150" s="6637"/>
      <c r="P150" s="6637"/>
      <c r="Q150" s="6637"/>
      <c r="R150" s="6642"/>
      <c r="S150" s="6637"/>
      <c r="T150" s="1380"/>
      <c r="U150" s="1380"/>
      <c r="V150" s="1382"/>
      <c r="W150" s="1215"/>
      <c r="Y150" s="1186"/>
      <c r="Z150" s="1186"/>
      <c r="AA150" s="1186"/>
      <c r="AB150" s="1186"/>
      <c r="AC150" s="1186" t="s">
        <v>368</v>
      </c>
      <c r="AD150" s="1186" t="s">
        <v>369</v>
      </c>
      <c r="AE150" s="1186" t="s">
        <v>370</v>
      </c>
      <c r="AF150" s="1186" t="s">
        <v>371</v>
      </c>
      <c r="AG150" s="1186"/>
      <c r="AH150" s="1186" t="str">
        <f>IF($E$150=0,"",$E$150)</f>
        <v>Тариф на горячую воду (горячее водоснабжение)</v>
      </c>
      <c r="AI150" s="1186" t="str">
        <f>IF($G$150=0,"",$G$150)</f>
        <v/>
      </c>
      <c r="AJ150" s="1186" t="str">
        <f>IF($J$150=0,"",$J$150)</f>
        <v/>
      </c>
      <c r="AK150" s="1186" t="str">
        <f>IF($K$150="нет","без дифференциации",IF($N$150=0,"",$N$150))</f>
        <v/>
      </c>
      <c r="AL150" s="1186" t="str">
        <f>IF($O$150="нет","без дифференциации",IF($R$150=0,"",$R$150))</f>
        <v/>
      </c>
      <c r="AM150" s="1186" t="str">
        <f>IF($S$150="нет","без дифференциации",IF($V$150=0,"",$V$150))</f>
        <v/>
      </c>
      <c r="AN150" s="1186">
        <f>$I$150</f>
        <v>0</v>
      </c>
      <c r="AO150" s="1186" t="str">
        <f>$I$150&amp;"."&amp;$M$150</f>
        <v>.</v>
      </c>
      <c r="AP150" s="1186" t="str">
        <f>$I$150&amp;"."&amp;$M$150&amp;"."&amp;$Q$150</f>
        <v>..</v>
      </c>
      <c r="AQ150" s="1186" t="str">
        <f>$I$150&amp;"."&amp;$M$150&amp;"."&amp;$Q$150&amp;"."&amp;$U$150</f>
        <v>...</v>
      </c>
    </row>
    <row r="151" spans="1:43" s="2034" customFormat="1" ht="17.25" hidden="1" customHeight="1">
      <c r="A151" s="245"/>
      <c r="C151" s="244"/>
      <c r="D151" s="6643"/>
      <c r="E151" s="6645"/>
      <c r="F151" s="6648"/>
      <c r="G151" s="6645"/>
      <c r="H151" s="6651"/>
      <c r="I151" s="6653"/>
      <c r="J151" s="6655"/>
      <c r="K151" s="6638"/>
      <c r="L151" s="6638"/>
      <c r="M151" s="6638"/>
      <c r="N151" s="6640"/>
      <c r="O151" s="6638"/>
      <c r="P151" s="6638"/>
      <c r="Q151" s="6638"/>
      <c r="R151" s="6641"/>
      <c r="S151" s="6638"/>
      <c r="T151" s="1216"/>
      <c r="U151" s="1216"/>
      <c r="V151" s="1216"/>
      <c r="W151" s="1217"/>
      <c r="Y151" s="1179"/>
      <c r="Z151" s="1179"/>
      <c r="AA151" s="1179"/>
      <c r="AB151" s="1179"/>
      <c r="AC151" s="1179"/>
      <c r="AD151" s="1179"/>
      <c r="AE151" s="1179"/>
      <c r="AF151" s="1179"/>
      <c r="AG151" s="1179"/>
      <c r="AH151" s="1179"/>
      <c r="AI151" s="1179"/>
      <c r="AJ151" s="1179"/>
      <c r="AK151" s="1179"/>
      <c r="AL151" s="1179"/>
      <c r="AM151" s="1179"/>
      <c r="AN151" s="1179"/>
      <c r="AO151" s="1179"/>
      <c r="AP151" s="1179"/>
      <c r="AQ151" s="1179"/>
    </row>
    <row r="152" spans="1:43" s="2034" customFormat="1" ht="17.25" hidden="1" customHeight="1">
      <c r="A152" s="245"/>
      <c r="C152" s="130"/>
      <c r="D152" s="6643"/>
      <c r="E152" s="6645"/>
      <c r="F152" s="6648"/>
      <c r="G152" s="6645"/>
      <c r="H152" s="6651"/>
      <c r="I152" s="6653"/>
      <c r="J152" s="6656"/>
      <c r="K152" s="6638"/>
      <c r="L152" s="6638"/>
      <c r="M152" s="6638"/>
      <c r="N152" s="6641"/>
      <c r="O152" s="6638"/>
      <c r="P152" s="1381"/>
      <c r="Q152" s="1216"/>
      <c r="R152" s="1216"/>
      <c r="S152" s="256"/>
      <c r="T152" s="256"/>
      <c r="U152" s="256"/>
      <c r="V152" s="256"/>
      <c r="W152" s="1217"/>
      <c r="Y152" s="1186"/>
      <c r="Z152" s="1186"/>
      <c r="AA152" s="1186"/>
      <c r="AB152" s="1186"/>
      <c r="AC152" s="1186"/>
      <c r="AD152" s="1186"/>
      <c r="AE152" s="1186"/>
      <c r="AF152" s="1186"/>
      <c r="AG152" s="1186"/>
      <c r="AH152" s="1186"/>
      <c r="AI152" s="1186"/>
      <c r="AJ152" s="1186"/>
      <c r="AK152" s="1186"/>
      <c r="AL152" s="1186"/>
      <c r="AM152" s="1186"/>
      <c r="AN152" s="1186"/>
      <c r="AO152" s="1186"/>
      <c r="AP152" s="1186"/>
      <c r="AQ152" s="1186"/>
    </row>
    <row r="153" spans="1:43" s="2034" customFormat="1" ht="17.25" hidden="1" customHeight="1">
      <c r="A153" s="245"/>
      <c r="C153" s="244"/>
      <c r="D153" s="6643"/>
      <c r="E153" s="6645"/>
      <c r="F153" s="6648"/>
      <c r="G153" s="6645"/>
      <c r="H153" s="6651"/>
      <c r="I153" s="6653"/>
      <c r="J153" s="6656"/>
      <c r="K153" s="6638"/>
      <c r="L153" s="1216"/>
      <c r="M153" s="1216"/>
      <c r="N153" s="1216"/>
      <c r="O153" s="1216"/>
      <c r="P153" s="1216"/>
      <c r="Q153" s="1216"/>
      <c r="R153" s="1216"/>
      <c r="S153" s="256"/>
      <c r="T153" s="256"/>
      <c r="U153" s="256"/>
      <c r="V153" s="256"/>
      <c r="W153" s="1217"/>
      <c r="Y153" s="1179"/>
      <c r="Z153" s="1179"/>
      <c r="AA153" s="1179"/>
      <c r="AB153" s="1179"/>
      <c r="AC153" s="1179"/>
      <c r="AD153" s="1179"/>
      <c r="AE153" s="1179"/>
      <c r="AF153" s="1179"/>
      <c r="AG153" s="1179"/>
      <c r="AH153" s="1179"/>
      <c r="AI153" s="1179"/>
      <c r="AJ153" s="1179"/>
      <c r="AK153" s="1179"/>
      <c r="AL153" s="1179"/>
      <c r="AM153" s="1179"/>
      <c r="AN153" s="1179"/>
      <c r="AO153" s="1179"/>
      <c r="AP153" s="1179"/>
      <c r="AQ153" s="1179"/>
    </row>
    <row r="154" spans="1:43" s="2034" customFormat="1" ht="17.25" hidden="1" customHeight="1">
      <c r="A154" s="245"/>
      <c r="C154" s="244"/>
      <c r="D154" s="6644"/>
      <c r="E154" s="6646"/>
      <c r="F154" s="6649"/>
      <c r="G154" s="6646"/>
      <c r="H154" s="1218"/>
      <c r="I154" s="1219"/>
      <c r="J154" s="1219"/>
      <c r="K154" s="1219"/>
      <c r="L154" s="1219"/>
      <c r="M154" s="1219"/>
      <c r="N154" s="1219"/>
      <c r="O154" s="1219"/>
      <c r="P154" s="1219"/>
      <c r="Q154" s="1219"/>
      <c r="R154" s="1219"/>
      <c r="S154" s="1220"/>
      <c r="T154" s="1220"/>
      <c r="U154" s="1220"/>
      <c r="V154" s="1220"/>
      <c r="W154" s="1221"/>
      <c r="Y154" s="1179"/>
      <c r="Z154" s="1179"/>
      <c r="AA154" s="1179"/>
      <c r="AB154" s="1179"/>
      <c r="AC154" s="1179"/>
      <c r="AD154" s="1179"/>
      <c r="AE154" s="1179"/>
      <c r="AF154" s="1179"/>
      <c r="AG154" s="1179"/>
      <c r="AH154" s="1179"/>
      <c r="AI154" s="1179"/>
      <c r="AJ154" s="1179"/>
      <c r="AK154" s="1179"/>
      <c r="AL154" s="1179"/>
      <c r="AM154" s="1179"/>
      <c r="AN154" s="1179"/>
      <c r="AO154" s="1179"/>
      <c r="AP154" s="1179"/>
      <c r="AQ154" s="1179"/>
    </row>
    <row r="155" spans="1:43" s="2034" customFormat="1" ht="17.25" hidden="1" customHeight="1">
      <c r="A155" s="245"/>
      <c r="C155" s="130"/>
      <c r="D155" s="6643">
        <v>2</v>
      </c>
      <c r="E155" s="6645" t="s">
        <v>372</v>
      </c>
      <c r="F155" s="6647" t="s">
        <v>56</v>
      </c>
      <c r="G155" s="6645"/>
      <c r="H155" s="6650"/>
      <c r="I155" s="6652"/>
      <c r="J155" s="6654"/>
      <c r="K155" s="6637"/>
      <c r="L155" s="6637"/>
      <c r="M155" s="6637"/>
      <c r="N155" s="6639"/>
      <c r="O155" s="6637"/>
      <c r="P155" s="6637"/>
      <c r="Q155" s="6637"/>
      <c r="R155" s="6642"/>
      <c r="S155" s="6637"/>
      <c r="T155" s="1380"/>
      <c r="U155" s="1380"/>
      <c r="V155" s="1382"/>
      <c r="W155" s="1215"/>
      <c r="X155" s="1186"/>
      <c r="Y155" s="1186"/>
      <c r="Z155" s="1186"/>
      <c r="AA155" s="1186"/>
      <c r="AB155" s="1186"/>
      <c r="AC155" s="1186" t="s">
        <v>373</v>
      </c>
      <c r="AD155" s="1186" t="s">
        <v>374</v>
      </c>
      <c r="AE155" s="1186" t="s">
        <v>375</v>
      </c>
      <c r="AF155" s="1186" t="s">
        <v>376</v>
      </c>
      <c r="AG155" s="1186"/>
      <c r="AH155" s="1186" t="str">
        <f>IF($E$155=0,"",$E$155)</f>
        <v>Тариф на транспортировку горячей воды</v>
      </c>
      <c r="AI155" s="1186" t="str">
        <f>IF($G$155=0,"",$G$155)</f>
        <v/>
      </c>
      <c r="AJ155" s="1186" t="str">
        <f>IF($J$155=0,"",$J$155)</f>
        <v/>
      </c>
      <c r="AK155" s="1186" t="str">
        <f>IF($K$155="нет","без дифференциации",IF($N$155=0,"",$N$155))</f>
        <v/>
      </c>
      <c r="AL155" s="1186" t="str">
        <f>IF($O$155="нет","без дифференциации",IF($R$155=0,"",$R$155))</f>
        <v/>
      </c>
      <c r="AM155" s="1186" t="str">
        <f>IF($S$155="нет","без дифференциации",IF($V$155=0,"",$V$155))</f>
        <v/>
      </c>
      <c r="AN155" s="1681">
        <f>$I$155</f>
        <v>0</v>
      </c>
      <c r="AO155" s="1186" t="str">
        <f>$I$155&amp;"."&amp;$M$155</f>
        <v>.</v>
      </c>
      <c r="AP155" s="1179" t="str">
        <f>$I$155&amp;"."&amp;$M$155&amp;"."&amp;$Q$155</f>
        <v>..</v>
      </c>
      <c r="AQ155" s="1179" t="str">
        <f>$I$155&amp;"."&amp;$M$155&amp;"."&amp;$Q$155&amp;"."&amp;$U$155</f>
        <v>...</v>
      </c>
    </row>
    <row r="156" spans="1:43" s="2034" customFormat="1" ht="17.25" hidden="1" customHeight="1">
      <c r="A156" s="245"/>
      <c r="C156" s="244"/>
      <c r="D156" s="6643"/>
      <c r="E156" s="6645"/>
      <c r="F156" s="6648"/>
      <c r="G156" s="6645"/>
      <c r="H156" s="6651"/>
      <c r="I156" s="6653"/>
      <c r="J156" s="6655"/>
      <c r="K156" s="6638"/>
      <c r="L156" s="6638"/>
      <c r="M156" s="6638"/>
      <c r="N156" s="6640"/>
      <c r="O156" s="6638"/>
      <c r="P156" s="6638"/>
      <c r="Q156" s="6638"/>
      <c r="R156" s="6641"/>
      <c r="S156" s="6638"/>
      <c r="T156" s="1216"/>
      <c r="U156" s="1216"/>
      <c r="V156" s="1216"/>
      <c r="W156" s="1217"/>
      <c r="X156" s="1179"/>
      <c r="Y156" s="1179"/>
      <c r="Z156" s="1179"/>
      <c r="AA156" s="1179"/>
      <c r="AB156" s="1179"/>
      <c r="AC156" s="1179"/>
      <c r="AD156" s="1179"/>
      <c r="AE156" s="1179"/>
      <c r="AF156" s="1179"/>
      <c r="AG156" s="1179"/>
      <c r="AH156" s="1179"/>
      <c r="AI156" s="1179"/>
      <c r="AJ156" s="1179"/>
      <c r="AK156" s="1179"/>
      <c r="AL156" s="1179"/>
      <c r="AM156" s="1179"/>
      <c r="AN156" s="1179"/>
      <c r="AO156" s="1179"/>
      <c r="AP156" s="1179"/>
      <c r="AQ156" s="1179"/>
    </row>
    <row r="157" spans="1:43" s="2034" customFormat="1" ht="17.25" hidden="1" customHeight="1">
      <c r="A157" s="245"/>
      <c r="C157" s="244"/>
      <c r="D157" s="6644"/>
      <c r="E157" s="6646"/>
      <c r="F157" s="6648"/>
      <c r="G157" s="6646"/>
      <c r="H157" s="6651"/>
      <c r="I157" s="6653"/>
      <c r="J157" s="6656"/>
      <c r="K157" s="6638"/>
      <c r="L157" s="6638"/>
      <c r="M157" s="6638"/>
      <c r="N157" s="6641"/>
      <c r="O157" s="6638"/>
      <c r="P157" s="1381"/>
      <c r="Q157" s="1216"/>
      <c r="R157" s="1216"/>
      <c r="S157" s="256"/>
      <c r="T157" s="256"/>
      <c r="U157" s="256"/>
      <c r="V157" s="256"/>
      <c r="W157" s="1217"/>
      <c r="X157" s="1179"/>
      <c r="Y157" s="1179"/>
      <c r="Z157" s="1179"/>
      <c r="AA157" s="1179"/>
      <c r="AB157" s="1179"/>
      <c r="AC157" s="1179"/>
      <c r="AD157" s="1179"/>
      <c r="AE157" s="1179"/>
      <c r="AF157" s="1179"/>
      <c r="AG157" s="1179"/>
      <c r="AH157" s="1179"/>
      <c r="AI157" s="1179"/>
      <c r="AJ157" s="1179"/>
      <c r="AK157" s="1179"/>
      <c r="AL157" s="1179"/>
      <c r="AM157" s="1179"/>
      <c r="AN157" s="1179"/>
      <c r="AO157" s="1179"/>
      <c r="AP157" s="1179"/>
      <c r="AQ157" s="1179"/>
    </row>
    <row r="158" spans="1:43" s="2034" customFormat="1" ht="17.25" hidden="1" customHeight="1">
      <c r="A158" s="245"/>
      <c r="C158" s="244"/>
      <c r="D158" s="6644"/>
      <c r="E158" s="6646"/>
      <c r="F158" s="6648"/>
      <c r="G158" s="6646"/>
      <c r="H158" s="6651"/>
      <c r="I158" s="6653"/>
      <c r="J158" s="6656"/>
      <c r="K158" s="6638"/>
      <c r="L158" s="1216"/>
      <c r="M158" s="1216"/>
      <c r="N158" s="1216"/>
      <c r="O158" s="1216"/>
      <c r="P158" s="1216"/>
      <c r="Q158" s="1216"/>
      <c r="R158" s="1216"/>
      <c r="S158" s="256"/>
      <c r="T158" s="256"/>
      <c r="U158" s="256"/>
      <c r="V158" s="256"/>
      <c r="W158" s="1217"/>
      <c r="X158" s="1179"/>
      <c r="Y158" s="1179"/>
      <c r="Z158" s="1179"/>
      <c r="AA158" s="1179"/>
      <c r="AB158" s="1179"/>
      <c r="AC158" s="1179"/>
      <c r="AD158" s="1179"/>
      <c r="AE158" s="1179"/>
      <c r="AF158" s="1179"/>
      <c r="AG158" s="1179"/>
      <c r="AH158" s="1179"/>
      <c r="AI158" s="1179"/>
      <c r="AJ158" s="1179"/>
      <c r="AK158" s="1179"/>
      <c r="AL158" s="1179"/>
      <c r="AM158" s="1179"/>
      <c r="AN158" s="1179"/>
      <c r="AO158" s="1179"/>
      <c r="AP158" s="1179"/>
      <c r="AQ158" s="1179"/>
    </row>
    <row r="159" spans="1:43" s="2034" customFormat="1" ht="17.25" hidden="1" customHeight="1">
      <c r="A159" s="245"/>
      <c r="C159" s="244"/>
      <c r="D159" s="6644"/>
      <c r="E159" s="6646"/>
      <c r="F159" s="6649"/>
      <c r="G159" s="6646"/>
      <c r="H159" s="1218"/>
      <c r="I159" s="1219"/>
      <c r="J159" s="1219"/>
      <c r="K159" s="1219"/>
      <c r="L159" s="1219"/>
      <c r="M159" s="1219"/>
      <c r="N159" s="1219"/>
      <c r="O159" s="1219"/>
      <c r="P159" s="1219"/>
      <c r="Q159" s="1219"/>
      <c r="R159" s="1219"/>
      <c r="S159" s="1220"/>
      <c r="T159" s="1220"/>
      <c r="U159" s="1220"/>
      <c r="V159" s="1220"/>
      <c r="W159" s="1221"/>
      <c r="X159" s="1179"/>
      <c r="Y159" s="1179"/>
      <c r="Z159" s="1179"/>
      <c r="AA159" s="1179"/>
      <c r="AB159" s="1179"/>
      <c r="AC159" s="1179"/>
      <c r="AD159" s="1179"/>
      <c r="AE159" s="1179"/>
      <c r="AF159" s="1179"/>
      <c r="AG159" s="1179"/>
      <c r="AH159" s="1179"/>
      <c r="AI159" s="1179"/>
      <c r="AJ159" s="1179"/>
      <c r="AK159" s="1179"/>
      <c r="AL159" s="1179"/>
      <c r="AM159" s="1179"/>
      <c r="AN159" s="1179"/>
      <c r="AO159" s="1179"/>
      <c r="AP159" s="1179"/>
      <c r="AQ159" s="1179"/>
    </row>
    <row r="160" spans="1:43" s="2034" customFormat="1" ht="17.25" hidden="1" customHeight="1">
      <c r="A160" s="245"/>
      <c r="C160" s="130"/>
      <c r="D160" s="6643">
        <v>3</v>
      </c>
      <c r="E160" s="6645" t="s">
        <v>377</v>
      </c>
      <c r="F160" s="6647" t="s">
        <v>56</v>
      </c>
      <c r="G160" s="6645"/>
      <c r="H160" s="6650"/>
      <c r="I160" s="6652"/>
      <c r="J160" s="6654"/>
      <c r="K160" s="6637"/>
      <c r="L160" s="6637"/>
      <c r="M160" s="6637"/>
      <c r="N160" s="6639"/>
      <c r="O160" s="6637"/>
      <c r="P160" s="6637"/>
      <c r="Q160" s="6637"/>
      <c r="R160" s="6642"/>
      <c r="S160" s="6637"/>
      <c r="T160" s="1380"/>
      <c r="U160" s="1380"/>
      <c r="V160" s="1382"/>
      <c r="W160" s="1215"/>
      <c r="X160" s="1186"/>
      <c r="Y160" s="1186"/>
      <c r="Z160" s="1186"/>
      <c r="AA160" s="1186"/>
      <c r="AB160" s="1186"/>
      <c r="AC160" s="1186" t="s">
        <v>378</v>
      </c>
      <c r="AD160" s="1186" t="s">
        <v>379</v>
      </c>
      <c r="AE160" s="1186" t="s">
        <v>380</v>
      </c>
      <c r="AF160" s="1186" t="s">
        <v>381</v>
      </c>
      <c r="AG160" s="1186"/>
      <c r="AH160" s="1186" t="str">
        <f>IF($E$160=0,"",$E$160)</f>
        <v>Тариф на подключение (технологическое присоединение) к централизованной системе горячего водоснабжения</v>
      </c>
      <c r="AI160" s="1186" t="str">
        <f>IF($G$160=0,"",$G$160)</f>
        <v/>
      </c>
      <c r="AJ160" s="1186" t="str">
        <f>IF($J$160=0,"",$J$160)</f>
        <v/>
      </c>
      <c r="AK160" s="1186" t="str">
        <f>IF($K$160="нет","без дифференциации",IF($N$160=0,"",$N$160))</f>
        <v/>
      </c>
      <c r="AL160" s="1186" t="str">
        <f>IF($O$160="нет","без дифференциации",IF($R$160=0,"",$R$160))</f>
        <v/>
      </c>
      <c r="AM160" s="1186" t="str">
        <f>IF($S$160="нет","без дифференциации",IF($V$160=0,"",$V$160))</f>
        <v/>
      </c>
      <c r="AN160" s="1681">
        <f>$I$160</f>
        <v>0</v>
      </c>
      <c r="AO160" s="1186" t="str">
        <f>$I$160&amp;"."&amp;$M$160</f>
        <v>.</v>
      </c>
      <c r="AP160" s="1179" t="str">
        <f>$I$160&amp;"."&amp;$M$160&amp;"."&amp;$Q$160</f>
        <v>..</v>
      </c>
      <c r="AQ160" s="1179" t="str">
        <f>$I$160&amp;"."&amp;$M$160&amp;"."&amp;$Q$160&amp;"."&amp;$U$160</f>
        <v>...</v>
      </c>
    </row>
    <row r="161" spans="1:43" s="2034" customFormat="1" ht="17.25" hidden="1" customHeight="1">
      <c r="A161" s="245"/>
      <c r="C161" s="244"/>
      <c r="D161" s="6643"/>
      <c r="E161" s="6645"/>
      <c r="F161" s="6648"/>
      <c r="G161" s="6645"/>
      <c r="H161" s="6651"/>
      <c r="I161" s="6653"/>
      <c r="J161" s="6655"/>
      <c r="K161" s="6638"/>
      <c r="L161" s="6638"/>
      <c r="M161" s="6638"/>
      <c r="N161" s="6640"/>
      <c r="O161" s="6638"/>
      <c r="P161" s="6638"/>
      <c r="Q161" s="6638"/>
      <c r="R161" s="6641"/>
      <c r="S161" s="6638"/>
      <c r="T161" s="1216"/>
      <c r="U161" s="1216"/>
      <c r="V161" s="1216"/>
      <c r="W161" s="1217"/>
      <c r="X161" s="1179"/>
      <c r="Y161" s="1179"/>
      <c r="Z161" s="1179"/>
      <c r="AA161" s="1179"/>
      <c r="AB161" s="1179"/>
      <c r="AC161" s="1179"/>
      <c r="AD161" s="1179"/>
      <c r="AE161" s="1179"/>
      <c r="AF161" s="1179"/>
      <c r="AG161" s="1179"/>
      <c r="AH161" s="1179"/>
      <c r="AI161" s="1179"/>
      <c r="AJ161" s="1179"/>
      <c r="AK161" s="1179"/>
      <c r="AL161" s="1179"/>
      <c r="AM161" s="1179"/>
      <c r="AN161" s="1179"/>
      <c r="AO161" s="1179"/>
      <c r="AP161" s="1179"/>
      <c r="AQ161" s="1179"/>
    </row>
    <row r="162" spans="1:43" s="2034" customFormat="1" ht="17.25" hidden="1" customHeight="1">
      <c r="A162" s="245"/>
      <c r="C162" s="244"/>
      <c r="D162" s="6644"/>
      <c r="E162" s="6646"/>
      <c r="F162" s="6648"/>
      <c r="G162" s="6646"/>
      <c r="H162" s="6651"/>
      <c r="I162" s="6653"/>
      <c r="J162" s="6656"/>
      <c r="K162" s="6638"/>
      <c r="L162" s="6638"/>
      <c r="M162" s="6638"/>
      <c r="N162" s="6641"/>
      <c r="O162" s="6638"/>
      <c r="P162" s="1381"/>
      <c r="Q162" s="1216"/>
      <c r="R162" s="1216"/>
      <c r="S162" s="256"/>
      <c r="T162" s="256"/>
      <c r="U162" s="256"/>
      <c r="V162" s="256"/>
      <c r="W162" s="1217"/>
      <c r="X162" s="1179"/>
      <c r="Y162" s="1179"/>
      <c r="Z162" s="1179"/>
      <c r="AA162" s="1179"/>
      <c r="AB162" s="1179"/>
      <c r="AC162" s="1179"/>
      <c r="AD162" s="1179"/>
      <c r="AE162" s="1179"/>
      <c r="AF162" s="1179"/>
      <c r="AG162" s="1179"/>
      <c r="AH162" s="1179"/>
      <c r="AI162" s="1179"/>
      <c r="AJ162" s="1179"/>
      <c r="AK162" s="1179"/>
      <c r="AL162" s="1179"/>
      <c r="AM162" s="1179"/>
      <c r="AN162" s="1179"/>
      <c r="AO162" s="1179"/>
      <c r="AP162" s="1179"/>
      <c r="AQ162" s="1179"/>
    </row>
    <row r="163" spans="1:43" s="2034" customFormat="1" ht="17.25" hidden="1" customHeight="1">
      <c r="A163" s="245"/>
      <c r="C163" s="244"/>
      <c r="D163" s="6644"/>
      <c r="E163" s="6646"/>
      <c r="F163" s="6648"/>
      <c r="G163" s="6646"/>
      <c r="H163" s="6651"/>
      <c r="I163" s="6653"/>
      <c r="J163" s="6656"/>
      <c r="K163" s="6638"/>
      <c r="L163" s="1216"/>
      <c r="M163" s="1216"/>
      <c r="N163" s="1216"/>
      <c r="O163" s="1216"/>
      <c r="P163" s="1216"/>
      <c r="Q163" s="1216"/>
      <c r="R163" s="1216"/>
      <c r="S163" s="256"/>
      <c r="T163" s="256"/>
      <c r="U163" s="256"/>
      <c r="V163" s="256"/>
      <c r="W163" s="1217"/>
      <c r="X163" s="1179"/>
      <c r="Y163" s="1179"/>
      <c r="Z163" s="1179"/>
      <c r="AA163" s="1179"/>
      <c r="AB163" s="1179"/>
      <c r="AC163" s="1179"/>
      <c r="AD163" s="1179"/>
      <c r="AE163" s="1179"/>
      <c r="AF163" s="1179"/>
      <c r="AG163" s="1179"/>
      <c r="AH163" s="1179"/>
      <c r="AI163" s="1179"/>
      <c r="AJ163" s="1179"/>
      <c r="AK163" s="1179"/>
      <c r="AL163" s="1179"/>
      <c r="AM163" s="1179"/>
      <c r="AN163" s="1179"/>
      <c r="AO163" s="1179"/>
      <c r="AP163" s="1179"/>
      <c r="AQ163" s="1179"/>
    </row>
    <row r="164" spans="1:43" s="2034" customFormat="1" ht="17.25" hidden="1" customHeight="1">
      <c r="A164" s="245"/>
      <c r="C164" s="244"/>
      <c r="D164" s="6644"/>
      <c r="E164" s="6646"/>
      <c r="F164" s="6649"/>
      <c r="G164" s="6646"/>
      <c r="H164" s="1218"/>
      <c r="I164" s="1219"/>
      <c r="J164" s="1219"/>
      <c r="K164" s="1219"/>
      <c r="L164" s="1219"/>
      <c r="M164" s="1219"/>
      <c r="N164" s="1219"/>
      <c r="O164" s="1219"/>
      <c r="P164" s="1219"/>
      <c r="Q164" s="1219"/>
      <c r="R164" s="1219"/>
      <c r="S164" s="1220"/>
      <c r="T164" s="1220"/>
      <c r="U164" s="1220"/>
      <c r="V164" s="1220"/>
      <c r="W164" s="1221"/>
      <c r="X164" s="1179"/>
      <c r="Y164" s="1179"/>
      <c r="Z164" s="1179"/>
      <c r="AA164" s="1179"/>
      <c r="AB164" s="1179"/>
      <c r="AC164" s="1179"/>
      <c r="AD164" s="1179"/>
      <c r="AE164" s="1179"/>
      <c r="AF164" s="1179"/>
      <c r="AG164" s="1179"/>
      <c r="AH164" s="1179"/>
      <c r="AI164" s="1179"/>
      <c r="AJ164" s="1179"/>
      <c r="AK164" s="1179"/>
      <c r="AL164" s="1179"/>
      <c r="AM164" s="1179"/>
      <c r="AN164" s="1179"/>
      <c r="AO164" s="1179"/>
      <c r="AP164" s="1179"/>
      <c r="AQ164" s="1179"/>
    </row>
    <row r="165" spans="1:43" s="2034" customFormat="1" ht="11.25" hidden="1" customHeight="1">
      <c r="A165" s="195"/>
      <c r="B165" s="195"/>
      <c r="Y165" s="1179"/>
      <c r="Z165" s="1179"/>
      <c r="AA165" s="1179"/>
      <c r="AB165" s="1179"/>
      <c r="AC165" s="1179"/>
      <c r="AD165" s="1179"/>
      <c r="AE165" s="1179"/>
      <c r="AF165" s="1179"/>
      <c r="AG165" s="1179"/>
      <c r="AH165" s="1179"/>
      <c r="AI165" s="1179"/>
      <c r="AJ165" s="1179"/>
      <c r="AK165" s="1179"/>
      <c r="AL165" s="1179"/>
      <c r="AM165" s="1179"/>
      <c r="AN165" s="1179"/>
      <c r="AO165" s="1179"/>
      <c r="AP165" s="1179"/>
      <c r="AQ165" s="1179"/>
    </row>
    <row r="166" spans="1:43" s="2034" customFormat="1" ht="17.25" hidden="1" customHeight="1">
      <c r="A166" s="245"/>
      <c r="C166" s="130"/>
      <c r="D166" s="6643">
        <v>1</v>
      </c>
      <c r="E166" s="6645" t="s">
        <v>382</v>
      </c>
      <c r="F166" s="6647" t="s">
        <v>56</v>
      </c>
      <c r="G166" s="6645"/>
      <c r="H166" s="6650"/>
      <c r="I166" s="6652"/>
      <c r="J166" s="6654"/>
      <c r="K166" s="6637"/>
      <c r="L166" s="6637"/>
      <c r="M166" s="6637"/>
      <c r="N166" s="6639"/>
      <c r="O166" s="6637"/>
      <c r="P166" s="6637"/>
      <c r="Q166" s="6637"/>
      <c r="R166" s="6642"/>
      <c r="S166" s="6637"/>
      <c r="T166" s="1380"/>
      <c r="U166" s="1380"/>
      <c r="V166" s="1382"/>
      <c r="W166" s="1215"/>
      <c r="Y166" s="1186"/>
      <c r="Z166" s="1186"/>
      <c r="AA166" s="1186"/>
      <c r="AB166" s="1186"/>
      <c r="AC166" s="1186" t="s">
        <v>383</v>
      </c>
      <c r="AD166" s="1186" t="s">
        <v>384</v>
      </c>
      <c r="AE166" s="1186" t="s">
        <v>385</v>
      </c>
      <c r="AF166" s="1186" t="s">
        <v>386</v>
      </c>
      <c r="AG166" s="1186"/>
      <c r="AH166" s="1186" t="str">
        <f>IF($E$166=0,"",$E$166)</f>
        <v>Тариф на водоотведение</v>
      </c>
      <c r="AI166" s="1186" t="str">
        <f>IF($G$166=0,"",$G$166)</f>
        <v/>
      </c>
      <c r="AJ166" s="1186" t="str">
        <f>IF($J$166=0,"",$J$166)</f>
        <v/>
      </c>
      <c r="AK166" s="1186" t="str">
        <f>IF($K$166="нет","без дифференциации",IF($N$166=0,"",$N$166))</f>
        <v/>
      </c>
      <c r="AL166" s="1186" t="str">
        <f>IF($O$166="нет","без дифференциации",IF($R$166=0,"",$R$166))</f>
        <v/>
      </c>
      <c r="AM166" s="1186" t="str">
        <f>IF($S$166="нет","без дифференциации",IF($V$166=0,"",$V$166))</f>
        <v/>
      </c>
      <c r="AN166" s="1186">
        <f>$I$166</f>
        <v>0</v>
      </c>
      <c r="AO166" s="1186" t="str">
        <f>$I$166&amp;"."&amp;$M$166</f>
        <v>.</v>
      </c>
      <c r="AP166" s="1186" t="str">
        <f>$I$166&amp;"."&amp;$M$166&amp;"."&amp;$Q$166</f>
        <v>..</v>
      </c>
      <c r="AQ166" s="1186" t="str">
        <f>$I$166&amp;"."&amp;$M$166&amp;"."&amp;$Q$166&amp;"."&amp;$U$166</f>
        <v>...</v>
      </c>
    </row>
    <row r="167" spans="1:43" s="2034" customFormat="1" ht="17.25" hidden="1" customHeight="1">
      <c r="A167" s="245"/>
      <c r="C167" s="244"/>
      <c r="D167" s="6643"/>
      <c r="E167" s="6645"/>
      <c r="F167" s="6648"/>
      <c r="G167" s="6645"/>
      <c r="H167" s="6651"/>
      <c r="I167" s="6653"/>
      <c r="J167" s="6655"/>
      <c r="K167" s="6638"/>
      <c r="L167" s="6638"/>
      <c r="M167" s="6638"/>
      <c r="N167" s="6640"/>
      <c r="O167" s="6638"/>
      <c r="P167" s="6638"/>
      <c r="Q167" s="6638"/>
      <c r="R167" s="6641"/>
      <c r="S167" s="6638"/>
      <c r="T167" s="1216"/>
      <c r="U167" s="1216"/>
      <c r="V167" s="1216"/>
      <c r="W167" s="1217"/>
      <c r="Y167" s="1179"/>
      <c r="Z167" s="1179"/>
      <c r="AA167" s="1179"/>
      <c r="AB167" s="1179"/>
      <c r="AC167" s="1179"/>
      <c r="AD167" s="1179"/>
      <c r="AE167" s="1179"/>
      <c r="AF167" s="1179"/>
      <c r="AG167" s="1179"/>
      <c r="AH167" s="1179"/>
      <c r="AI167" s="1179"/>
      <c r="AJ167" s="1179"/>
      <c r="AK167" s="1179"/>
      <c r="AL167" s="1179"/>
      <c r="AM167" s="1179"/>
      <c r="AN167" s="1179"/>
      <c r="AO167" s="1179"/>
      <c r="AP167" s="1179"/>
      <c r="AQ167" s="1179"/>
    </row>
    <row r="168" spans="1:43" s="2034" customFormat="1" ht="17.25" hidden="1" customHeight="1">
      <c r="A168" s="245"/>
      <c r="C168" s="130"/>
      <c r="D168" s="6643"/>
      <c r="E168" s="6645"/>
      <c r="F168" s="6648"/>
      <c r="G168" s="6645"/>
      <c r="H168" s="6651"/>
      <c r="I168" s="6653"/>
      <c r="J168" s="6656"/>
      <c r="K168" s="6638"/>
      <c r="L168" s="6638"/>
      <c r="M168" s="6638"/>
      <c r="N168" s="6641"/>
      <c r="O168" s="6638"/>
      <c r="P168" s="1381"/>
      <c r="Q168" s="1216"/>
      <c r="R168" s="1216"/>
      <c r="S168" s="256"/>
      <c r="T168" s="256"/>
      <c r="U168" s="256"/>
      <c r="V168" s="256"/>
      <c r="W168" s="1217"/>
      <c r="Y168" s="1186"/>
      <c r="Z168" s="1186"/>
      <c r="AA168" s="1186"/>
      <c r="AB168" s="1186"/>
      <c r="AC168" s="1186"/>
      <c r="AD168" s="1186"/>
      <c r="AE168" s="1186"/>
      <c r="AF168" s="1186"/>
      <c r="AG168" s="1186"/>
      <c r="AH168" s="1186"/>
      <c r="AI168" s="1186"/>
      <c r="AJ168" s="1186"/>
      <c r="AK168" s="1186"/>
      <c r="AL168" s="1186"/>
      <c r="AM168" s="1186"/>
      <c r="AN168" s="1186"/>
      <c r="AO168" s="1186"/>
      <c r="AP168" s="1186"/>
      <c r="AQ168" s="1186"/>
    </row>
    <row r="169" spans="1:43" s="2034" customFormat="1" ht="17.25" hidden="1" customHeight="1">
      <c r="A169" s="245"/>
      <c r="C169" s="244"/>
      <c r="D169" s="6643"/>
      <c r="E169" s="6645"/>
      <c r="F169" s="6648"/>
      <c r="G169" s="6645"/>
      <c r="H169" s="6651"/>
      <c r="I169" s="6653"/>
      <c r="J169" s="6656"/>
      <c r="K169" s="6638"/>
      <c r="L169" s="1216"/>
      <c r="M169" s="1216"/>
      <c r="N169" s="1216"/>
      <c r="O169" s="1216"/>
      <c r="P169" s="1216"/>
      <c r="Q169" s="1216"/>
      <c r="R169" s="1216"/>
      <c r="S169" s="256"/>
      <c r="T169" s="256"/>
      <c r="U169" s="256"/>
      <c r="V169" s="256"/>
      <c r="W169" s="1217"/>
      <c r="Y169" s="1179"/>
      <c r="Z169" s="1179"/>
      <c r="AA169" s="1179"/>
      <c r="AB169" s="1179"/>
      <c r="AC169" s="1179"/>
      <c r="AD169" s="1179"/>
      <c r="AE169" s="1179"/>
      <c r="AF169" s="1179"/>
      <c r="AG169" s="1179"/>
      <c r="AH169" s="1179"/>
      <c r="AI169" s="1179"/>
      <c r="AJ169" s="1179"/>
      <c r="AK169" s="1179"/>
      <c r="AL169" s="1179"/>
      <c r="AM169" s="1179"/>
      <c r="AN169" s="1179"/>
      <c r="AO169" s="1179"/>
      <c r="AP169" s="1179"/>
      <c r="AQ169" s="1179"/>
    </row>
    <row r="170" spans="1:43" s="2034" customFormat="1" ht="17.25" hidden="1" customHeight="1">
      <c r="A170" s="245"/>
      <c r="C170" s="244"/>
      <c r="D170" s="6644"/>
      <c r="E170" s="6646"/>
      <c r="F170" s="6649"/>
      <c r="G170" s="6646"/>
      <c r="H170" s="1218"/>
      <c r="I170" s="1219"/>
      <c r="J170" s="1219"/>
      <c r="K170" s="1219"/>
      <c r="L170" s="1219"/>
      <c r="M170" s="1219"/>
      <c r="N170" s="1219"/>
      <c r="O170" s="1219"/>
      <c r="P170" s="1219"/>
      <c r="Q170" s="1219"/>
      <c r="R170" s="1219"/>
      <c r="S170" s="1220"/>
      <c r="T170" s="1220"/>
      <c r="U170" s="1220"/>
      <c r="V170" s="1220"/>
      <c r="W170" s="1221"/>
      <c r="Y170" s="1179"/>
      <c r="Z170" s="1179"/>
      <c r="AA170" s="1179"/>
      <c r="AB170" s="1179"/>
      <c r="AC170" s="1179"/>
      <c r="AD170" s="1179"/>
      <c r="AE170" s="1179"/>
      <c r="AF170" s="1179"/>
      <c r="AG170" s="1179"/>
      <c r="AH170" s="1179"/>
      <c r="AI170" s="1179"/>
      <c r="AJ170" s="1179"/>
      <c r="AK170" s="1179"/>
      <c r="AL170" s="1179"/>
      <c r="AM170" s="1179"/>
      <c r="AN170" s="1179"/>
      <c r="AO170" s="1179"/>
      <c r="AP170" s="1179"/>
      <c r="AQ170" s="1179"/>
    </row>
    <row r="171" spans="1:43" s="2034" customFormat="1" ht="17.25" hidden="1" customHeight="1">
      <c r="A171" s="245"/>
      <c r="C171" s="130"/>
      <c r="D171" s="6643">
        <v>2</v>
      </c>
      <c r="E171" s="6645" t="s">
        <v>387</v>
      </c>
      <c r="F171" s="6647" t="s">
        <v>56</v>
      </c>
      <c r="G171" s="6645"/>
      <c r="H171" s="6650"/>
      <c r="I171" s="6652"/>
      <c r="J171" s="6654"/>
      <c r="K171" s="6637"/>
      <c r="L171" s="6637"/>
      <c r="M171" s="6637"/>
      <c r="N171" s="6639"/>
      <c r="O171" s="6637"/>
      <c r="P171" s="6637"/>
      <c r="Q171" s="6637"/>
      <c r="R171" s="6642"/>
      <c r="S171" s="6637"/>
      <c r="T171" s="1380"/>
      <c r="U171" s="1380"/>
      <c r="V171" s="1382"/>
      <c r="W171" s="1215"/>
      <c r="X171" s="1186"/>
      <c r="Y171" s="1186"/>
      <c r="Z171" s="1186"/>
      <c r="AA171" s="1186"/>
      <c r="AB171" s="1186"/>
      <c r="AC171" s="1186" t="s">
        <v>388</v>
      </c>
      <c r="AD171" s="1186" t="s">
        <v>389</v>
      </c>
      <c r="AE171" s="1186" t="s">
        <v>390</v>
      </c>
      <c r="AF171" s="1186" t="s">
        <v>391</v>
      </c>
      <c r="AG171" s="1186"/>
      <c r="AH171" s="1186" t="str">
        <f>IF($E$171=0,"",$E$171)</f>
        <v>Тариф на транспортировку сточных вод</v>
      </c>
      <c r="AI171" s="1186" t="str">
        <f>IF($G$171=0,"",$G$171)</f>
        <v/>
      </c>
      <c r="AJ171" s="1186" t="str">
        <f>IF($J$171=0,"",$J$171)</f>
        <v/>
      </c>
      <c r="AK171" s="1186" t="str">
        <f>IF($K$171="нет","без дифференциации",IF($N$171=0,"",$N$171))</f>
        <v/>
      </c>
      <c r="AL171" s="1186" t="str">
        <f>IF($O$171="нет","без дифференциации",IF($R$171=0,"",$R$171))</f>
        <v/>
      </c>
      <c r="AM171" s="1186" t="str">
        <f>IF($S$171="нет","без дифференциации",IF($V$171=0,"",$V$171))</f>
        <v/>
      </c>
      <c r="AN171" s="1681">
        <f>$I$171</f>
        <v>0</v>
      </c>
      <c r="AO171" s="1186" t="str">
        <f>$I$171&amp;"."&amp;$M$171</f>
        <v>.</v>
      </c>
      <c r="AP171" s="1179" t="str">
        <f>$I$171&amp;"."&amp;$M$171&amp;"."&amp;$Q$171</f>
        <v>..</v>
      </c>
      <c r="AQ171" s="1179" t="str">
        <f>$I$171&amp;"."&amp;$M$171&amp;"."&amp;$Q$171&amp;"."&amp;$U$171</f>
        <v>...</v>
      </c>
    </row>
    <row r="172" spans="1:43" s="2034" customFormat="1" ht="17.25" hidden="1" customHeight="1">
      <c r="A172" s="245"/>
      <c r="C172" s="244"/>
      <c r="D172" s="6643"/>
      <c r="E172" s="6645"/>
      <c r="F172" s="6648"/>
      <c r="G172" s="6645"/>
      <c r="H172" s="6651"/>
      <c r="I172" s="6653"/>
      <c r="J172" s="6655"/>
      <c r="K172" s="6638"/>
      <c r="L172" s="6638"/>
      <c r="M172" s="6638"/>
      <c r="N172" s="6640"/>
      <c r="O172" s="6638"/>
      <c r="P172" s="6638"/>
      <c r="Q172" s="6638"/>
      <c r="R172" s="6641"/>
      <c r="S172" s="6638"/>
      <c r="T172" s="1216"/>
      <c r="U172" s="1216"/>
      <c r="V172" s="1216"/>
      <c r="W172" s="1217"/>
      <c r="X172" s="1179"/>
      <c r="Y172" s="1179"/>
      <c r="Z172" s="1179"/>
      <c r="AA172" s="1179"/>
      <c r="AB172" s="1179"/>
      <c r="AC172" s="1179"/>
      <c r="AD172" s="1179"/>
      <c r="AE172" s="1179"/>
      <c r="AF172" s="1179"/>
      <c r="AG172" s="1179"/>
      <c r="AH172" s="1179"/>
      <c r="AI172" s="1179"/>
      <c r="AJ172" s="1179"/>
      <c r="AK172" s="1179"/>
      <c r="AL172" s="1179"/>
      <c r="AM172" s="1179"/>
      <c r="AN172" s="1179"/>
      <c r="AO172" s="1179"/>
      <c r="AP172" s="1179"/>
      <c r="AQ172" s="1179"/>
    </row>
    <row r="173" spans="1:43" s="2034" customFormat="1" ht="17.25" hidden="1" customHeight="1">
      <c r="A173" s="245"/>
      <c r="C173" s="244"/>
      <c r="D173" s="6644"/>
      <c r="E173" s="6646"/>
      <c r="F173" s="6648"/>
      <c r="G173" s="6646"/>
      <c r="H173" s="6651"/>
      <c r="I173" s="6653"/>
      <c r="J173" s="6656"/>
      <c r="K173" s="6638"/>
      <c r="L173" s="6638"/>
      <c r="M173" s="6638"/>
      <c r="N173" s="6641"/>
      <c r="O173" s="6638"/>
      <c r="P173" s="1381"/>
      <c r="Q173" s="1216"/>
      <c r="R173" s="1216"/>
      <c r="S173" s="256"/>
      <c r="T173" s="256"/>
      <c r="U173" s="256"/>
      <c r="V173" s="256"/>
      <c r="W173" s="1217"/>
      <c r="X173" s="1179"/>
      <c r="Y173" s="1179"/>
      <c r="Z173" s="1179"/>
      <c r="AA173" s="1179"/>
      <c r="AB173" s="1179"/>
      <c r="AC173" s="1179"/>
      <c r="AD173" s="1179"/>
      <c r="AE173" s="1179"/>
      <c r="AF173" s="1179"/>
      <c r="AG173" s="1179"/>
      <c r="AH173" s="1179"/>
      <c r="AI173" s="1179"/>
      <c r="AJ173" s="1179"/>
      <c r="AK173" s="1179"/>
      <c r="AL173" s="1179"/>
      <c r="AM173" s="1179"/>
      <c r="AN173" s="1179"/>
      <c r="AO173" s="1179"/>
      <c r="AP173" s="1179"/>
      <c r="AQ173" s="1179"/>
    </row>
    <row r="174" spans="1:43" s="2034" customFormat="1" ht="17.25" hidden="1" customHeight="1">
      <c r="A174" s="245"/>
      <c r="C174" s="244"/>
      <c r="D174" s="6644"/>
      <c r="E174" s="6646"/>
      <c r="F174" s="6648"/>
      <c r="G174" s="6646"/>
      <c r="H174" s="6651"/>
      <c r="I174" s="6653"/>
      <c r="J174" s="6656"/>
      <c r="K174" s="6638"/>
      <c r="L174" s="1216"/>
      <c r="M174" s="1216"/>
      <c r="N174" s="1216"/>
      <c r="O174" s="1216"/>
      <c r="P174" s="1216"/>
      <c r="Q174" s="1216"/>
      <c r="R174" s="1216"/>
      <c r="S174" s="256"/>
      <c r="T174" s="256"/>
      <c r="U174" s="256"/>
      <c r="V174" s="256"/>
      <c r="W174" s="1217"/>
      <c r="X174" s="1179"/>
      <c r="Y174" s="1179"/>
      <c r="Z174" s="1179"/>
      <c r="AA174" s="1179"/>
      <c r="AB174" s="1179"/>
      <c r="AC174" s="1179"/>
      <c r="AD174" s="1179"/>
      <c r="AE174" s="1179"/>
      <c r="AF174" s="1179"/>
      <c r="AG174" s="1179"/>
      <c r="AH174" s="1179"/>
      <c r="AI174" s="1179"/>
      <c r="AJ174" s="1179"/>
      <c r="AK174" s="1179"/>
      <c r="AL174" s="1179"/>
      <c r="AM174" s="1179"/>
      <c r="AN174" s="1179"/>
      <c r="AO174" s="1179"/>
      <c r="AP174" s="1179"/>
      <c r="AQ174" s="1179"/>
    </row>
    <row r="175" spans="1:43" s="2034" customFormat="1" ht="17.25" hidden="1" customHeight="1">
      <c r="A175" s="245"/>
      <c r="C175" s="244"/>
      <c r="D175" s="6644"/>
      <c r="E175" s="6646"/>
      <c r="F175" s="6649"/>
      <c r="G175" s="6646"/>
      <c r="H175" s="1218"/>
      <c r="I175" s="1219"/>
      <c r="J175" s="1219"/>
      <c r="K175" s="1219"/>
      <c r="L175" s="1219"/>
      <c r="M175" s="1219"/>
      <c r="N175" s="1219"/>
      <c r="O175" s="1219"/>
      <c r="P175" s="1219"/>
      <c r="Q175" s="1219"/>
      <c r="R175" s="1219"/>
      <c r="S175" s="1220"/>
      <c r="T175" s="1220"/>
      <c r="U175" s="1220"/>
      <c r="V175" s="1220"/>
      <c r="W175" s="1221"/>
      <c r="X175" s="1179"/>
      <c r="Y175" s="1179"/>
      <c r="Z175" s="1179"/>
      <c r="AA175" s="1179"/>
      <c r="AB175" s="1179"/>
      <c r="AC175" s="1179"/>
      <c r="AD175" s="1179"/>
      <c r="AE175" s="1179"/>
      <c r="AF175" s="1179"/>
      <c r="AG175" s="1179"/>
      <c r="AH175" s="1179"/>
      <c r="AI175" s="1179"/>
      <c r="AJ175" s="1179"/>
      <c r="AK175" s="1179"/>
      <c r="AL175" s="1179"/>
      <c r="AM175" s="1179"/>
      <c r="AN175" s="1179"/>
      <c r="AO175" s="1179"/>
      <c r="AP175" s="1179"/>
      <c r="AQ175" s="1179"/>
    </row>
    <row r="176" spans="1:43" s="2034" customFormat="1" ht="17.25" hidden="1" customHeight="1">
      <c r="A176" s="245"/>
      <c r="C176" s="130"/>
      <c r="D176" s="6643">
        <v>3</v>
      </c>
      <c r="E176" s="6645" t="s">
        <v>392</v>
      </c>
      <c r="F176" s="6647" t="s">
        <v>56</v>
      </c>
      <c r="G176" s="6645"/>
      <c r="H176" s="6650"/>
      <c r="I176" s="6652"/>
      <c r="J176" s="6654"/>
      <c r="K176" s="6637"/>
      <c r="L176" s="6637"/>
      <c r="M176" s="6637"/>
      <c r="N176" s="6639"/>
      <c r="O176" s="6637"/>
      <c r="P176" s="6637"/>
      <c r="Q176" s="6637"/>
      <c r="R176" s="6642"/>
      <c r="S176" s="6637"/>
      <c r="T176" s="1380"/>
      <c r="U176" s="1380"/>
      <c r="V176" s="1382"/>
      <c r="W176" s="1215"/>
      <c r="X176" s="1186"/>
      <c r="Y176" s="1186"/>
      <c r="Z176" s="1186"/>
      <c r="AA176" s="1186"/>
      <c r="AB176" s="1186"/>
      <c r="AC176" s="1186" t="s">
        <v>393</v>
      </c>
      <c r="AD176" s="1186" t="s">
        <v>394</v>
      </c>
      <c r="AE176" s="1186" t="s">
        <v>395</v>
      </c>
      <c r="AF176" s="1186" t="s">
        <v>396</v>
      </c>
      <c r="AG176" s="1186"/>
      <c r="AH176" s="1186" t="str">
        <f>IF($E$176=0,"",$E$176)</f>
        <v>Тариф на подключение (технологическое присоединение) к централизованной системе водоотведения</v>
      </c>
      <c r="AI176" s="1186" t="str">
        <f>IF($G$176=0,"",$G$176)</f>
        <v/>
      </c>
      <c r="AJ176" s="1186" t="str">
        <f>IF($J$176=0,"",$J$176)</f>
        <v/>
      </c>
      <c r="AK176" s="1186" t="str">
        <f>IF($K$176="нет","без дифференциации",IF($N$176=0,"",$N$176))</f>
        <v/>
      </c>
      <c r="AL176" s="1186" t="str">
        <f>IF($O$176="нет","без дифференциации",IF($R$176=0,"",$R$176))</f>
        <v/>
      </c>
      <c r="AM176" s="1186" t="str">
        <f>IF($S$176="нет","без дифференциации",IF($V$176=0,"",$V$176))</f>
        <v/>
      </c>
      <c r="AN176" s="1681">
        <f>$I$176</f>
        <v>0</v>
      </c>
      <c r="AO176" s="1186" t="str">
        <f>$I$176&amp;"."&amp;$M$176</f>
        <v>.</v>
      </c>
      <c r="AP176" s="1179" t="str">
        <f>$I$176&amp;"."&amp;$M$176&amp;"."&amp;$Q$176</f>
        <v>..</v>
      </c>
      <c r="AQ176" s="1179" t="str">
        <f>$I$176&amp;"."&amp;$M$176&amp;"."&amp;$Q$176&amp;"."&amp;$U$176</f>
        <v>...</v>
      </c>
    </row>
    <row r="177" spans="1:43" s="2034" customFormat="1" ht="17.25" hidden="1" customHeight="1">
      <c r="A177" s="245"/>
      <c r="C177" s="244"/>
      <c r="D177" s="6643"/>
      <c r="E177" s="6645"/>
      <c r="F177" s="6648"/>
      <c r="G177" s="6645"/>
      <c r="H177" s="6651"/>
      <c r="I177" s="6653"/>
      <c r="J177" s="6655"/>
      <c r="K177" s="6638"/>
      <c r="L177" s="6638"/>
      <c r="M177" s="6638"/>
      <c r="N177" s="6640"/>
      <c r="O177" s="6638"/>
      <c r="P177" s="6638"/>
      <c r="Q177" s="6638"/>
      <c r="R177" s="6641"/>
      <c r="S177" s="6638"/>
      <c r="T177" s="1216"/>
      <c r="U177" s="1216"/>
      <c r="V177" s="1216"/>
      <c r="W177" s="1217"/>
      <c r="X177" s="1179"/>
      <c r="Y177" s="1179"/>
      <c r="Z177" s="1179"/>
      <c r="AA177" s="1179"/>
      <c r="AB177" s="1179"/>
      <c r="AC177" s="1179"/>
      <c r="AD177" s="1179"/>
      <c r="AE177" s="1179"/>
      <c r="AF177" s="1179"/>
      <c r="AG177" s="1179"/>
      <c r="AH177" s="1179"/>
      <c r="AI177" s="1179"/>
      <c r="AJ177" s="1179"/>
      <c r="AK177" s="1179"/>
      <c r="AL177" s="1179"/>
      <c r="AM177" s="1179"/>
      <c r="AN177" s="1179"/>
      <c r="AO177" s="1179"/>
      <c r="AP177" s="1179"/>
      <c r="AQ177" s="1179"/>
    </row>
    <row r="178" spans="1:43" s="2034" customFormat="1" ht="17.25" hidden="1" customHeight="1">
      <c r="A178" s="245"/>
      <c r="C178" s="244"/>
      <c r="D178" s="6644"/>
      <c r="E178" s="6646"/>
      <c r="F178" s="6648"/>
      <c r="G178" s="6646"/>
      <c r="H178" s="6651"/>
      <c r="I178" s="6653"/>
      <c r="J178" s="6656"/>
      <c r="K178" s="6638"/>
      <c r="L178" s="6638"/>
      <c r="M178" s="6638"/>
      <c r="N178" s="6641"/>
      <c r="O178" s="6638"/>
      <c r="P178" s="1381"/>
      <c r="Q178" s="1216"/>
      <c r="R178" s="1216"/>
      <c r="S178" s="256"/>
      <c r="T178" s="256"/>
      <c r="U178" s="256"/>
      <c r="V178" s="256"/>
      <c r="W178" s="1217"/>
      <c r="X178" s="1179"/>
      <c r="Y178" s="1179"/>
      <c r="Z178" s="1179"/>
      <c r="AA178" s="1179"/>
      <c r="AB178" s="1179"/>
      <c r="AC178" s="1179"/>
      <c r="AD178" s="1179"/>
      <c r="AE178" s="1179"/>
      <c r="AF178" s="1179"/>
      <c r="AG178" s="1179"/>
      <c r="AH178" s="1179"/>
      <c r="AI178" s="1179"/>
      <c r="AJ178" s="1179"/>
      <c r="AK178" s="1179"/>
      <c r="AL178" s="1179"/>
      <c r="AM178" s="1179"/>
      <c r="AN178" s="1179"/>
      <c r="AO178" s="1179"/>
      <c r="AP178" s="1179"/>
      <c r="AQ178" s="1179"/>
    </row>
    <row r="179" spans="1:43" s="2034" customFormat="1" ht="17.25" hidden="1" customHeight="1">
      <c r="A179" s="245"/>
      <c r="C179" s="244"/>
      <c r="D179" s="6644"/>
      <c r="E179" s="6646"/>
      <c r="F179" s="6648"/>
      <c r="G179" s="6646"/>
      <c r="H179" s="6651"/>
      <c r="I179" s="6653"/>
      <c r="J179" s="6656"/>
      <c r="K179" s="6638"/>
      <c r="L179" s="1216"/>
      <c r="M179" s="1216"/>
      <c r="N179" s="1216"/>
      <c r="O179" s="1216"/>
      <c r="P179" s="1216"/>
      <c r="Q179" s="1216"/>
      <c r="R179" s="1216"/>
      <c r="S179" s="256"/>
      <c r="T179" s="256"/>
      <c r="U179" s="256"/>
      <c r="V179" s="256"/>
      <c r="W179" s="1217"/>
      <c r="X179" s="1179"/>
      <c r="Y179" s="1179"/>
      <c r="Z179" s="1179"/>
      <c r="AA179" s="1179"/>
      <c r="AB179" s="1179"/>
      <c r="AC179" s="1179"/>
      <c r="AD179" s="1179"/>
      <c r="AE179" s="1179"/>
      <c r="AF179" s="1179"/>
      <c r="AG179" s="1179"/>
      <c r="AH179" s="1179"/>
      <c r="AI179" s="1179"/>
      <c r="AJ179" s="1179"/>
      <c r="AK179" s="1179"/>
      <c r="AL179" s="1179"/>
      <c r="AM179" s="1179"/>
      <c r="AN179" s="1179"/>
      <c r="AO179" s="1179"/>
      <c r="AP179" s="1179"/>
      <c r="AQ179" s="1179"/>
    </row>
    <row r="180" spans="1:43" s="2034" customFormat="1" ht="17.25" hidden="1" customHeight="1">
      <c r="A180" s="245"/>
      <c r="C180" s="244"/>
      <c r="D180" s="6644"/>
      <c r="E180" s="6646"/>
      <c r="F180" s="6649"/>
      <c r="G180" s="6646"/>
      <c r="H180" s="1218"/>
      <c r="I180" s="1219"/>
      <c r="J180" s="1219"/>
      <c r="K180" s="1219"/>
      <c r="L180" s="1219"/>
      <c r="M180" s="1219"/>
      <c r="N180" s="1219"/>
      <c r="O180" s="1219"/>
      <c r="P180" s="1219"/>
      <c r="Q180" s="1219"/>
      <c r="R180" s="1219"/>
      <c r="S180" s="1220"/>
      <c r="T180" s="1220"/>
      <c r="U180" s="1220"/>
      <c r="V180" s="1220"/>
      <c r="W180" s="1221"/>
      <c r="X180" s="1179"/>
      <c r="Y180" s="1179"/>
      <c r="Z180" s="1179"/>
      <c r="AA180" s="1179"/>
      <c r="AB180" s="1179"/>
      <c r="AC180" s="1179"/>
      <c r="AD180" s="1179"/>
      <c r="AE180" s="1179"/>
      <c r="AF180" s="1179"/>
      <c r="AG180" s="1179"/>
      <c r="AH180" s="1179"/>
      <c r="AI180" s="1179"/>
      <c r="AJ180" s="1179"/>
      <c r="AK180" s="1179"/>
      <c r="AL180" s="1179"/>
      <c r="AM180" s="1179"/>
      <c r="AN180" s="1179"/>
      <c r="AO180" s="1179"/>
      <c r="AP180" s="1179"/>
      <c r="AQ180" s="1179"/>
    </row>
    <row r="184" spans="1:43" ht="11.25" customHeight="1">
      <c r="E184" s="1267"/>
    </row>
    <row r="185" spans="1:43" ht="11.25" customHeight="1">
      <c r="E185" s="1267"/>
    </row>
    <row r="186" spans="1:43" ht="11.25" customHeight="1">
      <c r="E186" s="1267"/>
    </row>
    <row r="187" spans="1:43" ht="11.25" customHeight="1">
      <c r="E187" s="1267"/>
    </row>
    <row r="188" spans="1:43" ht="11.25" customHeight="1">
      <c r="E188" s="1267"/>
    </row>
    <row r="189" spans="1:43" ht="11.25" customHeight="1">
      <c r="E189" s="1267"/>
    </row>
    <row r="190" spans="1:43" ht="11.25" customHeight="1">
      <c r="E190" s="1267"/>
    </row>
  </sheetData>
  <sheetProtection formatColumns="0" formatRows="0" insertRows="0" deleteColumns="0" deleteRows="0" sort="0" autoFilter="0"/>
  <mergeCells count="491">
    <mergeCell ref="H108:H111"/>
    <mergeCell ref="M108:M110"/>
    <mergeCell ref="O108:O110"/>
    <mergeCell ref="S108:S109"/>
    <mergeCell ref="P108:P109"/>
    <mergeCell ref="Q108:Q109"/>
    <mergeCell ref="R108:R109"/>
    <mergeCell ref="K108:K111"/>
    <mergeCell ref="L60:L62"/>
    <mergeCell ref="M60:M62"/>
    <mergeCell ref="N60:N62"/>
    <mergeCell ref="O60:O62"/>
    <mergeCell ref="P60:P61"/>
    <mergeCell ref="Q60:Q61"/>
    <mergeCell ref="R60:R61"/>
    <mergeCell ref="S60:S61"/>
    <mergeCell ref="I108:I111"/>
    <mergeCell ref="L108:L110"/>
    <mergeCell ref="N108:N110"/>
    <mergeCell ref="J108:J111"/>
    <mergeCell ref="L54:L56"/>
    <mergeCell ref="M54:M56"/>
    <mergeCell ref="N54:N56"/>
    <mergeCell ref="O54:O56"/>
    <mergeCell ref="P54:P55"/>
    <mergeCell ref="Q54:Q55"/>
    <mergeCell ref="R54:R55"/>
    <mergeCell ref="S54:S55"/>
    <mergeCell ref="L57:L59"/>
    <mergeCell ref="M57:M59"/>
    <mergeCell ref="N57:N59"/>
    <mergeCell ref="O57:O59"/>
    <mergeCell ref="P57:P58"/>
    <mergeCell ref="Q57:Q58"/>
    <mergeCell ref="R57:R58"/>
    <mergeCell ref="S57:S58"/>
    <mergeCell ref="L48:L50"/>
    <mergeCell ref="M48:M50"/>
    <mergeCell ref="N48:N50"/>
    <mergeCell ref="O48:O50"/>
    <mergeCell ref="P48:P49"/>
    <mergeCell ref="Q48:Q49"/>
    <mergeCell ref="R48:R49"/>
    <mergeCell ref="S48:S49"/>
    <mergeCell ref="L51:L53"/>
    <mergeCell ref="M51:M53"/>
    <mergeCell ref="N51:N53"/>
    <mergeCell ref="O51:O53"/>
    <mergeCell ref="P51:P52"/>
    <mergeCell ref="Q51:Q52"/>
    <mergeCell ref="R51:R52"/>
    <mergeCell ref="S51:S52"/>
    <mergeCell ref="L42:L44"/>
    <mergeCell ref="M42:M44"/>
    <mergeCell ref="N42:N44"/>
    <mergeCell ref="O42:O44"/>
    <mergeCell ref="P42:P43"/>
    <mergeCell ref="Q42:Q43"/>
    <mergeCell ref="R42:R43"/>
    <mergeCell ref="S42:S43"/>
    <mergeCell ref="L45:L47"/>
    <mergeCell ref="M45:M47"/>
    <mergeCell ref="N45:N47"/>
    <mergeCell ref="O45:O47"/>
    <mergeCell ref="P45:P46"/>
    <mergeCell ref="Q45:Q46"/>
    <mergeCell ref="R45:R46"/>
    <mergeCell ref="S45:S46"/>
    <mergeCell ref="P36:P37"/>
    <mergeCell ref="Q36:Q37"/>
    <mergeCell ref="R36:R37"/>
    <mergeCell ref="S36:S37"/>
    <mergeCell ref="L39:L41"/>
    <mergeCell ref="M39:M41"/>
    <mergeCell ref="N39:N41"/>
    <mergeCell ref="O39:O41"/>
    <mergeCell ref="P39:P40"/>
    <mergeCell ref="Q39:Q40"/>
    <mergeCell ref="R39:R40"/>
    <mergeCell ref="S39:S40"/>
    <mergeCell ref="R30:R31"/>
    <mergeCell ref="S30:S31"/>
    <mergeCell ref="L33:L35"/>
    <mergeCell ref="M33:M35"/>
    <mergeCell ref="N33:N35"/>
    <mergeCell ref="O33:O35"/>
    <mergeCell ref="P33:P34"/>
    <mergeCell ref="Q33:Q34"/>
    <mergeCell ref="R33:R34"/>
    <mergeCell ref="S33:S34"/>
    <mergeCell ref="R24:R25"/>
    <mergeCell ref="S24:S25"/>
    <mergeCell ref="L27:L29"/>
    <mergeCell ref="M27:M29"/>
    <mergeCell ref="N27:N29"/>
    <mergeCell ref="O27:O29"/>
    <mergeCell ref="P27:P28"/>
    <mergeCell ref="Q27:Q28"/>
    <mergeCell ref="R27:R28"/>
    <mergeCell ref="S27:S28"/>
    <mergeCell ref="S93:S94"/>
    <mergeCell ref="P93:P94"/>
    <mergeCell ref="I93:I96"/>
    <mergeCell ref="H93:H96"/>
    <mergeCell ref="J93:J96"/>
    <mergeCell ref="K93:K96"/>
    <mergeCell ref="M93:M95"/>
    <mergeCell ref="O93:O95"/>
    <mergeCell ref="L93:L95"/>
    <mergeCell ref="N93:N95"/>
    <mergeCell ref="S88:S89"/>
    <mergeCell ref="I18:I63"/>
    <mergeCell ref="L18:L20"/>
    <mergeCell ref="N18:N20"/>
    <mergeCell ref="J18:J63"/>
    <mergeCell ref="H18:H63"/>
    <mergeCell ref="M18:M20"/>
    <mergeCell ref="O18:O20"/>
    <mergeCell ref="S18:S19"/>
    <mergeCell ref="P18:P19"/>
    <mergeCell ref="Q18:Q19"/>
    <mergeCell ref="R18:R19"/>
    <mergeCell ref="K18:K63"/>
    <mergeCell ref="L21:L23"/>
    <mergeCell ref="M21:M23"/>
    <mergeCell ref="N21:N23"/>
    <mergeCell ref="O21:O23"/>
    <mergeCell ref="P21:P22"/>
    <mergeCell ref="Q21:Q22"/>
    <mergeCell ref="R21:R22"/>
    <mergeCell ref="S21:S22"/>
    <mergeCell ref="L24:L26"/>
    <mergeCell ref="M24:M26"/>
    <mergeCell ref="N24:N26"/>
    <mergeCell ref="S82:S83"/>
    <mergeCell ref="L85:L87"/>
    <mergeCell ref="M85:M87"/>
    <mergeCell ref="N85:N87"/>
    <mergeCell ref="O85:O87"/>
    <mergeCell ref="P85:P86"/>
    <mergeCell ref="Q85:Q86"/>
    <mergeCell ref="R85:R86"/>
    <mergeCell ref="S85:S86"/>
    <mergeCell ref="N74:N76"/>
    <mergeCell ref="O74:O76"/>
    <mergeCell ref="P74:P75"/>
    <mergeCell ref="Q74:Q75"/>
    <mergeCell ref="R74:R75"/>
    <mergeCell ref="S74:S75"/>
    <mergeCell ref="I79:I91"/>
    <mergeCell ref="L79:L81"/>
    <mergeCell ref="N79:N81"/>
    <mergeCell ref="J79:J91"/>
    <mergeCell ref="M79:M81"/>
    <mergeCell ref="O79:O81"/>
    <mergeCell ref="S79:S80"/>
    <mergeCell ref="P79:P80"/>
    <mergeCell ref="Q79:Q80"/>
    <mergeCell ref="R79:R80"/>
    <mergeCell ref="K79:K91"/>
    <mergeCell ref="L82:L84"/>
    <mergeCell ref="M82:M84"/>
    <mergeCell ref="N82:N84"/>
    <mergeCell ref="O82:O84"/>
    <mergeCell ref="P82:P83"/>
    <mergeCell ref="Q82:Q83"/>
    <mergeCell ref="R82:R83"/>
    <mergeCell ref="O65:O67"/>
    <mergeCell ref="S65:S66"/>
    <mergeCell ref="P65:P66"/>
    <mergeCell ref="Q65:Q66"/>
    <mergeCell ref="R65:R66"/>
    <mergeCell ref="K65:K77"/>
    <mergeCell ref="L68:L70"/>
    <mergeCell ref="M68:M70"/>
    <mergeCell ref="N68:N70"/>
    <mergeCell ref="O68:O70"/>
    <mergeCell ref="P68:P69"/>
    <mergeCell ref="Q68:Q69"/>
    <mergeCell ref="R68:R69"/>
    <mergeCell ref="S68:S69"/>
    <mergeCell ref="L71:L73"/>
    <mergeCell ref="M71:M73"/>
    <mergeCell ref="N71:N73"/>
    <mergeCell ref="O71:O73"/>
    <mergeCell ref="P71:P72"/>
    <mergeCell ref="Q71:Q72"/>
    <mergeCell ref="R71:R72"/>
    <mergeCell ref="S71:S72"/>
    <mergeCell ref="L74:L76"/>
    <mergeCell ref="M74:M76"/>
    <mergeCell ref="S171:S172"/>
    <mergeCell ref="D176:D180"/>
    <mergeCell ref="E176:E180"/>
    <mergeCell ref="F176:F180"/>
    <mergeCell ref="G176:G180"/>
    <mergeCell ref="H176:H179"/>
    <mergeCell ref="I176:I179"/>
    <mergeCell ref="J176:J179"/>
    <mergeCell ref="K176:K179"/>
    <mergeCell ref="L176:L178"/>
    <mergeCell ref="M176:M178"/>
    <mergeCell ref="N176:N178"/>
    <mergeCell ref="O176:O178"/>
    <mergeCell ref="P176:P177"/>
    <mergeCell ref="Q176:Q177"/>
    <mergeCell ref="R176:R177"/>
    <mergeCell ref="S176:S177"/>
    <mergeCell ref="D171:D175"/>
    <mergeCell ref="E171:E175"/>
    <mergeCell ref="F171:F175"/>
    <mergeCell ref="G171:G175"/>
    <mergeCell ref="H171:H174"/>
    <mergeCell ref="I171:I174"/>
    <mergeCell ref="J171:J174"/>
    <mergeCell ref="K171:K174"/>
    <mergeCell ref="L171:L173"/>
    <mergeCell ref="H166:H169"/>
    <mergeCell ref="I166:I169"/>
    <mergeCell ref="J166:J169"/>
    <mergeCell ref="K166:K169"/>
    <mergeCell ref="L166:L168"/>
    <mergeCell ref="M166:M168"/>
    <mergeCell ref="N166:N168"/>
    <mergeCell ref="O166:O168"/>
    <mergeCell ref="M171:M173"/>
    <mergeCell ref="N171:N173"/>
    <mergeCell ref="O171:O173"/>
    <mergeCell ref="P166:P167"/>
    <mergeCell ref="Q166:Q167"/>
    <mergeCell ref="R166:R167"/>
    <mergeCell ref="P171:P172"/>
    <mergeCell ref="Q171:Q172"/>
    <mergeCell ref="R171:R172"/>
    <mergeCell ref="S166:S167"/>
    <mergeCell ref="D166:D170"/>
    <mergeCell ref="E166:E170"/>
    <mergeCell ref="F166:F170"/>
    <mergeCell ref="G166:G170"/>
    <mergeCell ref="M155:M157"/>
    <mergeCell ref="N155:N157"/>
    <mergeCell ref="O155:O157"/>
    <mergeCell ref="P155:P156"/>
    <mergeCell ref="Q155:Q156"/>
    <mergeCell ref="R155:R156"/>
    <mergeCell ref="S155:S156"/>
    <mergeCell ref="D160:D164"/>
    <mergeCell ref="E160:E164"/>
    <mergeCell ref="F160:F164"/>
    <mergeCell ref="G160:G164"/>
    <mergeCell ref="H160:H163"/>
    <mergeCell ref="I160:I163"/>
    <mergeCell ref="J160:J163"/>
    <mergeCell ref="K160:K163"/>
    <mergeCell ref="L160:L162"/>
    <mergeCell ref="M160:M162"/>
    <mergeCell ref="N160:N162"/>
    <mergeCell ref="O160:O162"/>
    <mergeCell ref="P160:P161"/>
    <mergeCell ref="Q160:Q161"/>
    <mergeCell ref="R160:R161"/>
    <mergeCell ref="S160:S161"/>
    <mergeCell ref="D155:D159"/>
    <mergeCell ref="E155:E159"/>
    <mergeCell ref="F155:F159"/>
    <mergeCell ref="G155:G159"/>
    <mergeCell ref="H155:H158"/>
    <mergeCell ref="I155:I158"/>
    <mergeCell ref="J155:J158"/>
    <mergeCell ref="K155:K158"/>
    <mergeCell ref="L155:L157"/>
    <mergeCell ref="R13:R14"/>
    <mergeCell ref="S13:S14"/>
    <mergeCell ref="M103:M105"/>
    <mergeCell ref="N103:N105"/>
    <mergeCell ref="O103:O105"/>
    <mergeCell ref="D150:D154"/>
    <mergeCell ref="E150:E154"/>
    <mergeCell ref="F150:F154"/>
    <mergeCell ref="G150:G154"/>
    <mergeCell ref="H150:H153"/>
    <mergeCell ref="I150:I153"/>
    <mergeCell ref="J150:J153"/>
    <mergeCell ref="K150:K153"/>
    <mergeCell ref="L150:L152"/>
    <mergeCell ref="P103:P104"/>
    <mergeCell ref="Q103:Q104"/>
    <mergeCell ref="R103:R104"/>
    <mergeCell ref="S103:S104"/>
    <mergeCell ref="I65:I77"/>
    <mergeCell ref="L65:L67"/>
    <mergeCell ref="N65:N67"/>
    <mergeCell ref="J65:J77"/>
    <mergeCell ref="H65:H77"/>
    <mergeCell ref="M65:M67"/>
    <mergeCell ref="S98:S99"/>
    <mergeCell ref="E93:E97"/>
    <mergeCell ref="F93:F97"/>
    <mergeCell ref="M150:M152"/>
    <mergeCell ref="N150:N152"/>
    <mergeCell ref="O150:O152"/>
    <mergeCell ref="P150:P151"/>
    <mergeCell ref="Q150:Q151"/>
    <mergeCell ref="R150:R151"/>
    <mergeCell ref="S150:S151"/>
    <mergeCell ref="E122:W122"/>
    <mergeCell ref="E114:W114"/>
    <mergeCell ref="E115:W115"/>
    <mergeCell ref="E116:W116"/>
    <mergeCell ref="E117:W117"/>
    <mergeCell ref="E118:W118"/>
    <mergeCell ref="L124:L126"/>
    <mergeCell ref="M124:M126"/>
    <mergeCell ref="E120:W120"/>
    <mergeCell ref="E121:W121"/>
    <mergeCell ref="K134:K137"/>
    <mergeCell ref="E98:E102"/>
    <mergeCell ref="F98:F102"/>
    <mergeCell ref="H98:H101"/>
    <mergeCell ref="K103:K106"/>
    <mergeCell ref="L103:L105"/>
    <mergeCell ref="D79:D92"/>
    <mergeCell ref="E79:E92"/>
    <mergeCell ref="F79:F92"/>
    <mergeCell ref="P98:P99"/>
    <mergeCell ref="Q98:Q99"/>
    <mergeCell ref="R98:R99"/>
    <mergeCell ref="O98:O100"/>
    <mergeCell ref="G79:G92"/>
    <mergeCell ref="G98:G102"/>
    <mergeCell ref="H79:H91"/>
    <mergeCell ref="L88:L90"/>
    <mergeCell ref="M88:M90"/>
    <mergeCell ref="N88:N90"/>
    <mergeCell ref="O88:O90"/>
    <mergeCell ref="P88:P89"/>
    <mergeCell ref="Q88:Q89"/>
    <mergeCell ref="R88:R89"/>
    <mergeCell ref="Q93:Q94"/>
    <mergeCell ref="R93:R94"/>
    <mergeCell ref="D65:D78"/>
    <mergeCell ref="E65:E78"/>
    <mergeCell ref="F65:F78"/>
    <mergeCell ref="G65:G78"/>
    <mergeCell ref="D108:D112"/>
    <mergeCell ref="E108:E112"/>
    <mergeCell ref="F108:F112"/>
    <mergeCell ref="N98:N100"/>
    <mergeCell ref="G93:G97"/>
    <mergeCell ref="G108:G112"/>
    <mergeCell ref="L98:L100"/>
    <mergeCell ref="M98:M100"/>
    <mergeCell ref="K98:K101"/>
    <mergeCell ref="D98:D102"/>
    <mergeCell ref="I98:I101"/>
    <mergeCell ref="J98:J101"/>
    <mergeCell ref="D93:D97"/>
    <mergeCell ref="D103:D107"/>
    <mergeCell ref="E103:E107"/>
    <mergeCell ref="F103:F107"/>
    <mergeCell ref="G103:G107"/>
    <mergeCell ref="H103:H106"/>
    <mergeCell ref="I103:I106"/>
    <mergeCell ref="J103:J106"/>
    <mergeCell ref="L11:M11"/>
    <mergeCell ref="P11:Q11"/>
    <mergeCell ref="P13:P14"/>
    <mergeCell ref="L13:L15"/>
    <mergeCell ref="M13:M15"/>
    <mergeCell ref="N13:N15"/>
    <mergeCell ref="O13:O15"/>
    <mergeCell ref="Q13:Q14"/>
    <mergeCell ref="D18:D64"/>
    <mergeCell ref="E18:E64"/>
    <mergeCell ref="F18:F64"/>
    <mergeCell ref="O24:O26"/>
    <mergeCell ref="P24:P25"/>
    <mergeCell ref="Q24:Q25"/>
    <mergeCell ref="L30:L32"/>
    <mergeCell ref="M30:M32"/>
    <mergeCell ref="N30:N32"/>
    <mergeCell ref="O30:O32"/>
    <mergeCell ref="P30:P31"/>
    <mergeCell ref="Q30:Q31"/>
    <mergeCell ref="L36:L38"/>
    <mergeCell ref="M36:M38"/>
    <mergeCell ref="N36:N38"/>
    <mergeCell ref="O36:O38"/>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124:D128"/>
    <mergeCell ref="E124:E128"/>
    <mergeCell ref="D129:D133"/>
    <mergeCell ref="E129:E133"/>
    <mergeCell ref="F129:F133"/>
    <mergeCell ref="G129:G133"/>
    <mergeCell ref="H129:H132"/>
    <mergeCell ref="I129:I132"/>
    <mergeCell ref="J129:J132"/>
    <mergeCell ref="F124:F128"/>
    <mergeCell ref="G124:G128"/>
    <mergeCell ref="H124:H127"/>
    <mergeCell ref="I124:I127"/>
    <mergeCell ref="J124:J127"/>
    <mergeCell ref="K13:K16"/>
    <mergeCell ref="G18:G64"/>
    <mergeCell ref="L10:M10"/>
    <mergeCell ref="P10:Q10"/>
    <mergeCell ref="L134:L136"/>
    <mergeCell ref="Q129:Q130"/>
    <mergeCell ref="R129:R130"/>
    <mergeCell ref="S129:S130"/>
    <mergeCell ref="K129:K132"/>
    <mergeCell ref="K124:K127"/>
    <mergeCell ref="N129:N131"/>
    <mergeCell ref="O129:O131"/>
    <mergeCell ref="P129:P130"/>
    <mergeCell ref="S134:S135"/>
    <mergeCell ref="N134:N136"/>
    <mergeCell ref="O134:O136"/>
    <mergeCell ref="P134:P135"/>
    <mergeCell ref="Q134:Q135"/>
    <mergeCell ref="R134:R135"/>
    <mergeCell ref="L129:L131"/>
    <mergeCell ref="N124:N126"/>
    <mergeCell ref="O124:O126"/>
    <mergeCell ref="P124:P125"/>
    <mergeCell ref="Q124:Q125"/>
    <mergeCell ref="R124:R125"/>
    <mergeCell ref="S124:S125"/>
    <mergeCell ref="M129:M131"/>
    <mergeCell ref="M139:M141"/>
    <mergeCell ref="N139:N141"/>
    <mergeCell ref="O139:O141"/>
    <mergeCell ref="P139:P140"/>
    <mergeCell ref="Q139:Q140"/>
    <mergeCell ref="R139:R140"/>
    <mergeCell ref="S139:S140"/>
    <mergeCell ref="D134:D138"/>
    <mergeCell ref="E134:E138"/>
    <mergeCell ref="M134:M136"/>
    <mergeCell ref="D139:D143"/>
    <mergeCell ref="E139:E143"/>
    <mergeCell ref="F139:F143"/>
    <mergeCell ref="G139:G143"/>
    <mergeCell ref="H139:H142"/>
    <mergeCell ref="I139:I142"/>
    <mergeCell ref="J139:J142"/>
    <mergeCell ref="K139:K142"/>
    <mergeCell ref="L139:L141"/>
    <mergeCell ref="F134:F138"/>
    <mergeCell ref="G134:G138"/>
    <mergeCell ref="H134:H137"/>
    <mergeCell ref="I134:I137"/>
    <mergeCell ref="J134:J137"/>
    <mergeCell ref="M144:M146"/>
    <mergeCell ref="N144:N146"/>
    <mergeCell ref="O144:O146"/>
    <mergeCell ref="P144:P145"/>
    <mergeCell ref="Q144:Q145"/>
    <mergeCell ref="R144:R145"/>
    <mergeCell ref="S144:S145"/>
    <mergeCell ref="D144:D148"/>
    <mergeCell ref="E144:E148"/>
    <mergeCell ref="F144:F148"/>
    <mergeCell ref="G144:G148"/>
    <mergeCell ref="H144:H147"/>
    <mergeCell ref="I144:I147"/>
    <mergeCell ref="J144:J147"/>
    <mergeCell ref="K144:K147"/>
    <mergeCell ref="L144:L146"/>
  </mergeCells>
  <dataValidations count="451">
    <dataValidation allowBlank="1" showInputMessage="1" showErrorMessage="1" prompt="Выберите виды деятельности, выполнив двойной щелчок левой кнопки мыши по ячейке." sqref="G13:G20 G63:G67 G77:G81 G91:G112 G124:G148 G150:G164 G166:G18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N105 N98:N100 N13:N15 N124:N126 N139:N141 N144:N146 N129:N131 N134:N136 N150:N152 N155:N157 N160:N162 N171:N173 N166:N168 N176:N178">
      <formula1>DESCRIPTION_TERRITORY</formula1>
    </dataValidation>
    <dataValidation type="textLength" operator="lessThanOrEqual" allowBlank="1" showInputMessage="1" showErrorMessage="1" errorTitle="Ошибка" error="Допускается ввод не более 900 символов!" sqref="J13:J14 J103:J104 R103:R104 V103:W103 J98:J99 R13:R14 R98:R99 V13:W13 V98:W98 J124:J125 R124:R125 V124:W124 J129:J130 R129:R130 V129:W129 J139:J140 R139:R140 V139:W139 J134:J135 R134:R135 V134:W134 J144:J145 R144:R145 V144:W144 J150:J151 R150:R151 V150:W150 J155:J156 R155:R156 V155:W155 J160:J161 R160:R161 V160:W160 J171:J172 R171:R172 V171:W171 J166:J167 R166:R167 V166:W166 J176:J177 R176:R177 V176:W176">
      <formula1>900</formula1>
    </dataValidation>
    <dataValidation allowBlank="1" showInputMessage="1" showErrorMessage="1" prompt="Для выбора выполните двойной щелчок левой клавиши мыши по соответствующей ячейке." sqref="K13:K14 K103:K104 O103:O104 S103:S104 K98:K99 O98:O99 S98:S99 F13:F20 F63:F67 F77:F81 F91:F112 O13:O14 S13:S14 K124:K125 O124:O125 S124:S125 K129:K130 O129:O130 S129:S130 K139:K140 O139:O140 S139:S140 K134:K135 O134:O135 K144:K145 O144:O145 S134:S135 S144:S145 F124:F148 O150:O151 S150:S151 O155:O156 S155:S156 S160:S161 K150:K151 K155:K156 K160:K161 O160:O161 F150:F164 K171:K172 O171:O172 K166:K167 O166:O167 S171:S172 F166:F180 S166:S167 K176:K177 O176:O177 S176:S177"/>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Для выбора выполните двойной щелчок левой клавиши мыши по соответствующей ячейке." sqref="K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O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V65">
      <formula1>900</formula1>
    </dataValidation>
    <dataValidation type="textLength" operator="lessThanOrEqual" allowBlank="1" showInputMessage="1" showErrorMessage="1" errorTitle="Ошибка" error="Допускается ввод не более 900 символов!" sqref="W65">
      <formula1>900</formula1>
    </dataValidation>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Для выбора выполните двойной щелчок левой клавиши мыши по соответствующей ячейке." sqref="K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O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V68">
      <formula1>900</formula1>
    </dataValidation>
    <dataValidation type="textLength" operator="lessThanOrEqual" allowBlank="1" showInputMessage="1" showErrorMessage="1" errorTitle="Ошибка" error="Допускается ввод не более 900 символов!" sqref="W68">
      <formula1>900</formula1>
    </dataValidation>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Для выбора выполните двойной щелчок левой клавиши мыши по соответствующей ячейке." sqref="K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O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type="textLength" operator="lessThanOrEqual" allowBlank="1" showInputMessage="1" showErrorMessage="1" errorTitle="Ошибка" error="Допускается ввод не более 900 символов!" sqref="V71">
      <formula1>900</formula1>
    </dataValidation>
    <dataValidation type="textLength" operator="lessThanOrEqual" allowBlank="1" showInputMessage="1" showErrorMessage="1" errorTitle="Ошибка" error="Допускается ввод не более 900 символов!" sqref="W71">
      <formula1>900</formula1>
    </dataValidation>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Для выбора выполните двойной щелчок левой клавиши мыши по соответствующей ячейке." sqref="K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O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Для выбора выполните двойной щелчок левой клавиши мыши по соответствующей ячейке." sqref="K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Для выбора выполните двойной щелчок левой клавиши мыши по соответствующей ячейке." sqref="K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O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V85">
      <formula1>900</formula1>
    </dataValidation>
    <dataValidation type="textLength" operator="lessThanOrEqual" allowBlank="1" showInputMessage="1" showErrorMessage="1" errorTitle="Ошибка" error="Допускается ввод не более 900 символов!" sqref="W85">
      <formula1>900</formula1>
    </dataValidation>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Для выбора выполните двойной щелчок левой клавиши мыши по соответствующей ячейке." sqref="K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Для выбора выполните двойной щелчок левой клавиши мыши по соответствующей ячейке." sqref="K9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V93">
      <formula1>900</formula1>
    </dataValidation>
    <dataValidation type="textLength" operator="lessThanOrEqual" allowBlank="1" showInputMessage="1" showErrorMessage="1" errorTitle="Ошибка" error="Допускается ввод не более 900 символов!" sqref="W93">
      <formula1>900</formula1>
    </dataValidation>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Для выбора выполните двойной щелчок левой клавиши мыши по соответствующей ячейке." sqref="K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O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Для выбора выполните двойной щелчок левой клавиши мыши по соответствующей ячейке." sqref="K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O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W36">
      <formula1>900</formula1>
    </dataValidation>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Для выбора выполните двойной щелчок левой клавиши мыши по соответствующей ячейке." sqref="K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O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V39">
      <formula1>900</formula1>
    </dataValidation>
    <dataValidation type="textLength" operator="lessThanOrEqual" allowBlank="1" showInputMessage="1" showErrorMessage="1" errorTitle="Ошибка" error="Допускается ввод не более 900 символов!" sqref="W39">
      <formula1>900</formula1>
    </dataValidation>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Для выбора выполните двойной щелчок левой клавиши мыши по соответствующей ячейке." sqref="K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O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V42">
      <formula1>900</formula1>
    </dataValidation>
    <dataValidation type="textLength" operator="lessThanOrEqual" allowBlank="1" showInputMessage="1" showErrorMessage="1" errorTitle="Ошибка" error="Допускается ввод не более 900 символов!" sqref="W42">
      <formula1>900</formula1>
    </dataValidation>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Для выбора выполните двойной щелчок левой клавиши мыши по соответствующей ячейке." sqref="K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O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V45">
      <formula1>900</formula1>
    </dataValidation>
    <dataValidation type="textLength" operator="lessThanOrEqual" allowBlank="1" showInputMessage="1" showErrorMessage="1" errorTitle="Ошибка" error="Допускается ввод не более 900 символов!" sqref="W45">
      <formula1>900</formula1>
    </dataValidation>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Для выбора выполните двойной щелчок левой клавиши мыши по соответствующей ячейке." sqref="K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Для выбора выполните двойной щелчок левой клавиши мыши по соответствующей ячейке." sqref="O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Для выбора выполните двойной щелчок левой клавиши мыши по соответствующей ячейке." sqref="S51"/>
    <dataValidation type="textLength" operator="lessThanOrEqual" allowBlank="1" showInputMessage="1" showErrorMessage="1" errorTitle="Ошибка" error="Допускается ввод не более 900 символов!" sqref="V51">
      <formula1>900</formula1>
    </dataValidation>
    <dataValidation type="textLength" operator="lessThanOrEqual" allowBlank="1" showInputMessage="1" showErrorMessage="1" errorTitle="Ошибка" error="Допускается ввод не более 900 символов!" sqref="W51">
      <formula1>900</formula1>
    </dataValidation>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Для выбора выполните двойной щелчок левой клавиши мыши по соответствующей ячейке." sqref="K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allowBlank="1" showInputMessage="1" showErrorMessage="1" prompt="Для выбора выполните двойной щелчок левой клавиши мыши по соответствующей ячейке." sqref="O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V54">
      <formula1>900</formula1>
    </dataValidation>
    <dataValidation type="textLength" operator="lessThanOrEqual" allowBlank="1" showInputMessage="1" showErrorMessage="1" errorTitle="Ошибка" error="Допускается ввод не более 900 символов!" sqref="W54">
      <formula1>900</formula1>
    </dataValidation>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type="textLength" operator="lessThanOrEqual" allowBlank="1" showInputMessage="1" showErrorMessage="1" errorTitle="Ошибка" error="Допускается ввод не более 900 символов!" sqref="J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type="textLength" operator="lessThanOrEqual" allowBlank="1" showInputMessage="1" showErrorMessage="1" errorTitle="Ошибка" error="Допускается ввод не более 900 символов!" sqref="R55">
      <formula1>900</formula1>
    </dataValidation>
    <dataValidation allowBlank="1" showInputMessage="1" showErrorMessage="1" prompt="Для выбора выполните двойной щелчок левой клавиши мыши по соответствующей ячейке." sqref="S55"/>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Для выбора выполните двойной щелчок левой клавиши мыши по соответствующей ячейке." sqref="K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O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Для выбора выполните двойной щелчок левой клавиши мыши по соответствующей ячейке." sqref="K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042" hidden="1"/>
    <col min="2" max="2" width="9.140625" style="1830" hidden="1"/>
    <col min="3" max="3" width="3.7109375" style="2042" hidden="1" customWidth="1"/>
    <col min="4" max="4" width="3.85546875" style="2058" customWidth="1"/>
    <col min="5" max="5" width="6.28515625" style="2042" customWidth="1"/>
    <col min="6" max="6" width="27.28515625" style="2042" customWidth="1"/>
    <col min="7" max="7" width="16.7109375" style="2042" customWidth="1"/>
    <col min="8" max="8" width="12.7109375" style="2042" customWidth="1"/>
    <col min="9" max="9" width="32.140625" style="2042" customWidth="1"/>
    <col min="10" max="11" width="41.85546875" style="2042" customWidth="1"/>
    <col min="12" max="12" width="89.5703125" style="2042" customWidth="1"/>
    <col min="13" max="13" width="3.7109375" style="1827" customWidth="1"/>
    <col min="14" max="16" width="9.140625" style="1827"/>
    <col min="17" max="17" width="25.7109375" style="1824" customWidth="1"/>
    <col min="18" max="18" width="14.42578125" style="1827" customWidth="1"/>
    <col min="19" max="22" width="9.140625" style="1825"/>
    <col min="23" max="256" width="9.140625" style="2042"/>
  </cols>
  <sheetData>
    <row r="1" spans="1:256" ht="14.25" hidden="1" customHeight="1"/>
    <row r="2" spans="1:256" s="1828" customFormat="1" ht="22.5" hidden="1" customHeight="1">
      <c r="A2" s="748"/>
      <c r="B2" s="1060">
        <v>1</v>
      </c>
      <c r="C2" s="1060"/>
      <c r="D2" s="718"/>
      <c r="E2" s="1393"/>
      <c r="F2" s="1447" t="str">
        <f>IF(ROIV_INFO_NAME="","",ROIV_INFO_NAME)</f>
        <v>ООО "Марикоммунэнерго"</v>
      </c>
      <c r="G2" s="1641" t="s">
        <v>24</v>
      </c>
      <c r="H2" s="1446"/>
      <c r="I2" s="1446"/>
      <c r="J2" s="1064"/>
      <c r="K2" s="1064"/>
      <c r="L2" s="149"/>
      <c r="M2" s="1443"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17" customFormat="1" ht="5.25" hidden="1" customHeight="1">
      <c r="A3" s="422"/>
      <c r="D3" s="420"/>
      <c r="F3" s="166" t="s">
        <v>82</v>
      </c>
      <c r="G3" s="1644"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6" customFormat="1" ht="14.25" customHeight="1">
      <c r="A4" s="1055"/>
      <c r="B4" s="1060"/>
      <c r="C4" s="1055"/>
      <c r="D4" s="1404"/>
      <c r="E4" s="435"/>
      <c r="F4" s="435"/>
      <c r="G4" s="435"/>
      <c r="H4" s="435"/>
      <c r="I4" s="435"/>
      <c r="J4" s="435"/>
      <c r="K4" s="435"/>
      <c r="L4" s="87"/>
      <c r="M4" s="166"/>
      <c r="N4" s="426"/>
      <c r="O4" s="426"/>
      <c r="P4" s="426"/>
      <c r="Q4" s="147"/>
      <c r="R4" s="426"/>
      <c r="S4" s="146"/>
      <c r="T4" s="146"/>
      <c r="U4" s="146"/>
      <c r="V4" s="146"/>
    </row>
    <row r="5" spans="1:256" s="1826" customFormat="1" ht="25.5" customHeight="1">
      <c r="A5" s="1055"/>
      <c r="B5" s="1060"/>
      <c r="C5" s="1055"/>
      <c r="D5" s="1404"/>
      <c r="E5" s="660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6604"/>
      <c r="G5" s="6604"/>
      <c r="H5" s="6604"/>
      <c r="I5" s="6604"/>
      <c r="J5" s="6604"/>
      <c r="K5" s="6604"/>
      <c r="L5" s="511"/>
      <c r="M5" s="166"/>
      <c r="N5" s="426"/>
      <c r="O5" s="426"/>
      <c r="P5" s="426"/>
      <c r="Q5" s="147"/>
      <c r="R5" s="426"/>
      <c r="S5" s="146"/>
      <c r="T5" s="146"/>
      <c r="U5" s="146"/>
      <c r="V5" s="146"/>
    </row>
    <row r="6" spans="1:256" s="1826" customFormat="1" ht="14.25" customHeight="1">
      <c r="A6" s="1055"/>
      <c r="B6" s="1060"/>
      <c r="C6" s="1055"/>
      <c r="D6" s="1404"/>
      <c r="E6" s="435"/>
      <c r="F6" s="88"/>
      <c r="G6" s="88"/>
      <c r="H6" s="88"/>
      <c r="I6" s="88"/>
      <c r="J6" s="88"/>
      <c r="K6" s="88"/>
      <c r="L6" s="89"/>
      <c r="M6" s="426"/>
      <c r="N6" s="426"/>
      <c r="O6" s="426"/>
      <c r="P6" s="426"/>
      <c r="Q6" s="147"/>
      <c r="R6" s="426"/>
      <c r="S6" s="146"/>
      <c r="T6" s="146"/>
      <c r="U6" s="146"/>
      <c r="V6" s="146"/>
    </row>
    <row r="7" spans="1:256" s="1826" customFormat="1" ht="14.25" customHeight="1">
      <c r="A7" s="1055"/>
      <c r="B7" s="1060"/>
      <c r="C7" s="1055"/>
      <c r="D7" s="1404"/>
      <c r="E7" s="6600" t="s">
        <v>418</v>
      </c>
      <c r="F7" s="6605"/>
      <c r="G7" s="6605"/>
      <c r="H7" s="6605"/>
      <c r="I7" s="6605"/>
      <c r="J7" s="6605"/>
      <c r="K7" s="6605"/>
      <c r="L7" s="6923" t="s">
        <v>419</v>
      </c>
      <c r="M7" s="426"/>
      <c r="N7" s="426"/>
      <c r="O7" s="426"/>
      <c r="P7" s="426"/>
      <c r="Q7" s="147"/>
      <c r="R7" s="426"/>
      <c r="S7" s="146"/>
      <c r="T7" s="146"/>
      <c r="U7" s="146"/>
      <c r="V7" s="146"/>
    </row>
    <row r="8" spans="1:256" s="1826" customFormat="1" ht="47.25" customHeight="1">
      <c r="A8" s="1055"/>
      <c r="B8" s="1060"/>
      <c r="C8" s="1055"/>
      <c r="D8" s="1404"/>
      <c r="E8" s="6928" t="s">
        <v>87</v>
      </c>
      <c r="F8" s="6928" t="s">
        <v>1213</v>
      </c>
      <c r="G8" s="693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6931"/>
      <c r="I8" s="6932"/>
      <c r="J8" s="692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692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6927"/>
      <c r="M8" s="426"/>
      <c r="N8" s="426"/>
      <c r="O8" s="426"/>
      <c r="P8" s="426"/>
      <c r="Q8" s="147"/>
      <c r="R8" s="426"/>
      <c r="S8" s="146"/>
      <c r="T8" s="146"/>
      <c r="U8" s="146"/>
      <c r="V8" s="146"/>
    </row>
    <row r="9" spans="1:256" s="1826" customFormat="1" ht="56.25" customHeight="1">
      <c r="A9" s="1055"/>
      <c r="B9" s="1060"/>
      <c r="C9" s="1055"/>
      <c r="D9" s="1404"/>
      <c r="E9" s="6929"/>
      <c r="F9" s="6929"/>
      <c r="G9" s="1445" t="s">
        <v>1235</v>
      </c>
      <c r="H9" s="1445" t="s">
        <v>1236</v>
      </c>
      <c r="I9" s="1445" t="s">
        <v>1237</v>
      </c>
      <c r="J9" s="6929"/>
      <c r="K9" s="6929"/>
      <c r="L9" s="6924"/>
      <c r="M9" s="426"/>
      <c r="N9" s="426"/>
      <c r="O9" s="426"/>
      <c r="P9" s="426"/>
      <c r="Q9" s="147"/>
      <c r="R9" s="426"/>
      <c r="S9" s="146"/>
      <c r="T9" s="146"/>
      <c r="U9" s="146"/>
      <c r="V9" s="146"/>
    </row>
    <row r="10" spans="1:256" s="1828" customFormat="1" ht="22.5" customHeight="1">
      <c r="A10" s="6603"/>
      <c r="B10" s="1060">
        <v>1</v>
      </c>
      <c r="C10" s="1060"/>
      <c r="D10" s="717"/>
      <c r="E10" s="715">
        <v>1</v>
      </c>
      <c r="F10" s="1447" t="str">
        <f>IF(ROIV_INFO_NAME="","",ROIV_INFO_NAME)</f>
        <v>ООО "Марикоммунэнерго"</v>
      </c>
      <c r="G10" s="1641" t="s">
        <v>24</v>
      </c>
      <c r="H10" s="1442"/>
      <c r="I10" s="1442"/>
      <c r="J10" s="1064"/>
      <c r="K10" s="1064"/>
      <c r="L10" s="6925" t="s">
        <v>1238</v>
      </c>
      <c r="M10" s="1443"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28" customFormat="1" ht="15" customHeight="1">
      <c r="A11" s="6603"/>
      <c r="B11" s="1060"/>
      <c r="C11" s="346"/>
      <c r="D11" s="718"/>
      <c r="E11" s="354"/>
      <c r="F11" s="350" t="s">
        <v>1239</v>
      </c>
      <c r="G11" s="108"/>
      <c r="H11" s="108"/>
      <c r="I11" s="108"/>
      <c r="J11" s="108"/>
      <c r="K11" s="108"/>
      <c r="L11" s="6926"/>
      <c r="M11" s="1444"/>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26"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26"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26"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2042" hidden="1"/>
    <col min="2" max="2" width="9.140625" style="1830" hidden="1"/>
    <col min="3" max="3" width="3.7109375" style="2042" hidden="1" customWidth="1"/>
    <col min="4" max="4" width="3.85546875" style="2058" customWidth="1"/>
    <col min="5" max="5" width="10.140625" style="2042" customWidth="1"/>
    <col min="6" max="6" width="6.28515625" style="2042" customWidth="1"/>
    <col min="7" max="7" width="27.28515625" style="2042" customWidth="1"/>
    <col min="8" max="8" width="29.28515625" style="2042" customWidth="1"/>
    <col min="9" max="9" width="25.42578125" style="2042" customWidth="1"/>
    <col min="10" max="10" width="5.5703125" style="2042" customWidth="1"/>
    <col min="11" max="11" width="6.5703125" style="2042" customWidth="1"/>
    <col min="12" max="12" width="41.85546875" style="2042" customWidth="1"/>
    <col min="13" max="13" width="42.42578125" style="2042" customWidth="1"/>
    <col min="14" max="14" width="41.5703125" style="2042" customWidth="1"/>
    <col min="15" max="15" width="64.140625" style="2042" customWidth="1"/>
    <col min="16" max="16" width="3.7109375" style="1827" customWidth="1"/>
    <col min="17" max="19" width="9.140625" style="1827"/>
    <col min="20" max="20" width="25.7109375" style="1824" customWidth="1"/>
    <col min="21" max="21" width="14.42578125" style="1827" customWidth="1"/>
    <col min="22" max="25" width="9.140625" style="1825"/>
    <col min="26" max="259" width="9.140625" style="2042"/>
  </cols>
  <sheetData>
    <row r="1" spans="1:259" ht="14.25" hidden="1" customHeight="1"/>
    <row r="2" spans="1:259" s="1828" customFormat="1" ht="22.5" hidden="1" customHeight="1">
      <c r="A2" s="422"/>
      <c r="B2" s="1060">
        <v>1</v>
      </c>
      <c r="C2" s="1060"/>
      <c r="D2" s="718"/>
      <c r="E2" s="6629"/>
      <c r="F2" s="6629">
        <v>1</v>
      </c>
      <c r="G2" s="6941" t="str">
        <f>IF(region_name="","",region_name)</f>
        <v>Республика Марий Эл</v>
      </c>
      <c r="H2" s="6942"/>
      <c r="I2" s="6943"/>
      <c r="J2" s="401"/>
      <c r="K2" s="1393">
        <v>1</v>
      </c>
      <c r="L2" s="1064"/>
      <c r="M2" s="1064"/>
      <c r="N2" s="1064"/>
      <c r="O2" s="1064"/>
      <c r="P2" s="1443"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28" customFormat="1" ht="22.5" hidden="1" customHeight="1">
      <c r="A3" s="748"/>
      <c r="B3" s="1060"/>
      <c r="C3" s="1060"/>
      <c r="D3" s="718"/>
      <c r="E3" s="6629"/>
      <c r="F3" s="6629"/>
      <c r="G3" s="6941"/>
      <c r="H3" s="6942"/>
      <c r="I3" s="6944"/>
      <c r="J3" s="1452"/>
      <c r="K3" s="1409"/>
      <c r="L3" s="1409" t="s">
        <v>1240</v>
      </c>
      <c r="M3" s="1455"/>
      <c r="N3" s="1455"/>
      <c r="O3" s="1456"/>
      <c r="P3" s="1443"/>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17" customFormat="1" ht="5.25" hidden="1" customHeight="1">
      <c r="A4" s="422"/>
      <c r="D4" s="420"/>
      <c r="G4" s="166" t="s">
        <v>82</v>
      </c>
      <c r="H4" s="420" t="s">
        <v>83</v>
      </c>
      <c r="I4" s="420"/>
      <c r="J4" s="1457"/>
      <c r="K4" s="1457"/>
      <c r="L4" s="1457"/>
      <c r="M4" s="1457"/>
      <c r="N4" s="1457"/>
      <c r="O4" s="1457"/>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6" customFormat="1" ht="14.25" customHeight="1">
      <c r="A5" s="1055"/>
      <c r="B5" s="1060"/>
      <c r="C5" s="1055"/>
      <c r="D5" s="1404"/>
      <c r="E5" s="435"/>
      <c r="F5" s="435"/>
      <c r="G5" s="435"/>
      <c r="H5" s="435"/>
      <c r="I5" s="435"/>
      <c r="J5" s="435"/>
      <c r="K5" s="435"/>
      <c r="L5" s="435"/>
      <c r="M5" s="435"/>
      <c r="N5" s="435"/>
      <c r="O5" s="435"/>
      <c r="P5" s="166"/>
      <c r="Q5" s="426"/>
      <c r="R5" s="426"/>
      <c r="S5" s="426"/>
      <c r="T5" s="147"/>
      <c r="U5" s="426"/>
      <c r="V5" s="146"/>
      <c r="W5" s="146"/>
      <c r="X5" s="146"/>
      <c r="Y5" s="146"/>
    </row>
    <row r="6" spans="1:259" s="1826" customFormat="1" ht="25.5" customHeight="1">
      <c r="A6" s="1055"/>
      <c r="B6" s="1060"/>
      <c r="C6" s="1055"/>
      <c r="D6" s="1404"/>
      <c r="E6" s="6604" t="s">
        <v>1241</v>
      </c>
      <c r="F6" s="6604"/>
      <c r="G6" s="6604"/>
      <c r="H6" s="6604"/>
      <c r="I6" s="6604"/>
      <c r="J6" s="6604"/>
      <c r="K6" s="6604"/>
      <c r="L6" s="6604"/>
      <c r="M6" s="6604"/>
      <c r="N6" s="6604"/>
      <c r="O6" s="6604"/>
      <c r="P6" s="166"/>
      <c r="Q6" s="426"/>
      <c r="R6" s="426"/>
      <c r="S6" s="426"/>
      <c r="T6" s="147"/>
      <c r="U6" s="426"/>
      <c r="V6" s="146"/>
      <c r="W6" s="146"/>
      <c r="X6" s="146"/>
      <c r="Y6" s="146"/>
    </row>
    <row r="7" spans="1:259" s="1826" customFormat="1" ht="14.25" customHeight="1">
      <c r="A7" s="1055"/>
      <c r="B7" s="1060"/>
      <c r="C7" s="1055"/>
      <c r="D7" s="1404"/>
      <c r="E7" s="435"/>
      <c r="F7" s="435"/>
      <c r="G7" s="88"/>
      <c r="H7" s="88"/>
      <c r="I7" s="88"/>
      <c r="J7" s="88"/>
      <c r="K7" s="88"/>
      <c r="L7" s="88"/>
      <c r="M7" s="88"/>
      <c r="N7" s="88"/>
      <c r="O7" s="88"/>
      <c r="P7" s="426"/>
      <c r="Q7" s="426"/>
      <c r="R7" s="426"/>
      <c r="S7" s="426"/>
      <c r="T7" s="147"/>
      <c r="U7" s="426"/>
      <c r="V7" s="146"/>
      <c r="W7" s="146"/>
      <c r="X7" s="146"/>
      <c r="Y7" s="146"/>
    </row>
    <row r="8" spans="1:259" s="6551" customFormat="1" ht="42.75" customHeight="1">
      <c r="A8" s="1378"/>
      <c r="B8" s="1387"/>
      <c r="C8" s="1378"/>
      <c r="D8" s="1404"/>
      <c r="E8" s="1465" t="s">
        <v>419</v>
      </c>
      <c r="F8" s="1465"/>
      <c r="G8" s="1466" t="s">
        <v>423</v>
      </c>
      <c r="H8" s="1466" t="s">
        <v>1242</v>
      </c>
      <c r="I8" s="1466" t="s">
        <v>427</v>
      </c>
      <c r="J8" s="6936"/>
      <c r="K8" s="6937"/>
      <c r="L8" s="6938"/>
      <c r="M8" s="1466" t="s">
        <v>1243</v>
      </c>
      <c r="N8" s="1466" t="s">
        <v>1244</v>
      </c>
      <c r="O8" s="1466" t="s">
        <v>1245</v>
      </c>
      <c r="P8" s="1458"/>
      <c r="Q8" s="1458"/>
      <c r="R8" s="1458"/>
      <c r="S8" s="1458"/>
      <c r="T8" s="1459"/>
      <c r="U8" s="1458"/>
      <c r="V8" s="1460"/>
      <c r="W8" s="1460"/>
      <c r="X8" s="1460"/>
      <c r="Y8" s="1460"/>
    </row>
    <row r="9" spans="1:259" s="1826" customFormat="1" ht="47.25" customHeight="1">
      <c r="A9" s="1055"/>
      <c r="B9" s="1060"/>
      <c r="C9" s="1055"/>
      <c r="D9" s="1404"/>
      <c r="E9" s="6742" t="s">
        <v>418</v>
      </c>
      <c r="F9" s="6929" t="s">
        <v>87</v>
      </c>
      <c r="G9" s="6929" t="s">
        <v>422</v>
      </c>
      <c r="H9" s="6929" t="s">
        <v>1246</v>
      </c>
      <c r="I9" s="6929"/>
      <c r="J9" s="6929" t="s">
        <v>1247</v>
      </c>
      <c r="K9" s="6929"/>
      <c r="L9" s="6929"/>
      <c r="M9" s="6929" t="s">
        <v>1248</v>
      </c>
      <c r="N9" s="6929" t="s">
        <v>1249</v>
      </c>
      <c r="O9" s="692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26" customFormat="1" ht="63.75" customHeight="1">
      <c r="A10" s="1055"/>
      <c r="B10" s="1060"/>
      <c r="C10" s="1055"/>
      <c r="D10" s="1404"/>
      <c r="E10" s="6629"/>
      <c r="F10" s="6935"/>
      <c r="G10" s="6935"/>
      <c r="H10" s="93" t="s">
        <v>1250</v>
      </c>
      <c r="I10" s="93" t="s">
        <v>426</v>
      </c>
      <c r="J10" s="6928"/>
      <c r="K10" s="6928"/>
      <c r="L10" s="6935"/>
      <c r="M10" s="6935"/>
      <c r="N10" s="6935"/>
      <c r="O10" s="6935"/>
      <c r="P10" s="426"/>
      <c r="Q10" s="426"/>
      <c r="R10" s="426"/>
      <c r="S10" s="426"/>
      <c r="T10" s="147"/>
      <c r="U10" s="426"/>
      <c r="V10" s="146"/>
      <c r="W10" s="146"/>
      <c r="X10" s="146"/>
      <c r="Y10" s="146"/>
    </row>
    <row r="11" spans="1:259" s="1828" customFormat="1" ht="22.5" customHeight="1">
      <c r="A11" s="6603">
        <v>26379339</v>
      </c>
      <c r="B11" s="1060">
        <v>1</v>
      </c>
      <c r="C11" s="1060"/>
      <c r="D11" s="718"/>
      <c r="E11" s="6742"/>
      <c r="F11" s="6742">
        <v>1</v>
      </c>
      <c r="G11" s="6933" t="str">
        <f>IF(region_name="","",region_name)</f>
        <v>Республика Марий Эл</v>
      </c>
      <c r="H11" s="6934"/>
      <c r="I11" s="6939"/>
      <c r="J11" s="401"/>
      <c r="K11" s="1393">
        <v>1</v>
      </c>
      <c r="L11" s="1467"/>
      <c r="M11" s="1454"/>
      <c r="N11" s="1454"/>
      <c r="O11" s="1453"/>
      <c r="P11" s="1443"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28" customFormat="1" ht="22.5" customHeight="1">
      <c r="A12" s="6603"/>
      <c r="B12" s="1060"/>
      <c r="C12" s="1060"/>
      <c r="D12" s="718"/>
      <c r="E12" s="6742"/>
      <c r="F12" s="6742"/>
      <c r="G12" s="6933"/>
      <c r="H12" s="6934"/>
      <c r="I12" s="6940"/>
      <c r="J12" s="1452"/>
      <c r="K12" s="1409"/>
      <c r="L12" s="1409" t="s">
        <v>1240</v>
      </c>
      <c r="M12" s="1455"/>
      <c r="N12" s="1455"/>
      <c r="O12" s="1456"/>
      <c r="P12" s="1443"/>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28" customFormat="1" ht="22.5" customHeight="1">
      <c r="A13" s="6603"/>
      <c r="B13" s="1060"/>
      <c r="C13" s="346"/>
      <c r="D13" s="718"/>
      <c r="E13" s="1449"/>
      <c r="F13" s="1452"/>
      <c r="G13" s="1409" t="s">
        <v>1234</v>
      </c>
      <c r="H13" s="1450"/>
      <c r="I13" s="1450"/>
      <c r="J13" s="108"/>
      <c r="K13" s="108"/>
      <c r="L13" s="108"/>
      <c r="M13" s="108"/>
      <c r="N13" s="108"/>
      <c r="O13" s="1451"/>
      <c r="P13" s="1444"/>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26"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26"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26"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6547" hidden="1"/>
    <col min="3" max="3" width="3.7109375" style="6548" customWidth="1"/>
    <col min="4" max="4" width="6.28515625" style="6547" customWidth="1"/>
    <col min="5" max="5" width="94.85546875" style="6547" customWidth="1"/>
    <col min="6" max="12" width="9.140625" style="6547"/>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6604" t="s">
        <v>1251</v>
      </c>
      <c r="E7" s="6604"/>
      <c r="F7" s="186"/>
    </row>
    <row r="8" spans="3:12" ht="3" customHeight="1">
      <c r="C8" s="25"/>
      <c r="D8" s="6"/>
      <c r="E8" s="6"/>
    </row>
    <row r="9" spans="3:12" ht="15.75" customHeight="1">
      <c r="C9" s="25"/>
      <c r="D9" s="36" t="s">
        <v>87</v>
      </c>
      <c r="E9" s="39" t="s">
        <v>405</v>
      </c>
    </row>
    <row r="10" spans="3:12" ht="12" customHeight="1">
      <c r="C10" s="25"/>
      <c r="D10" s="21" t="s">
        <v>178</v>
      </c>
      <c r="E10" s="21" t="s">
        <v>98</v>
      </c>
    </row>
    <row r="11" spans="3:12" ht="15" hidden="1" customHeight="1">
      <c r="C11" s="25"/>
      <c r="D11" s="43">
        <v>0</v>
      </c>
      <c r="E11" s="73"/>
    </row>
    <row r="12" spans="3:12" ht="14.25" customHeight="1">
      <c r="C12" s="25"/>
      <c r="D12" s="40"/>
      <c r="E12" s="38" t="s">
        <v>1211</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6552" customWidth="1"/>
    <col min="2" max="2" width="34.5703125" style="6552" customWidth="1"/>
    <col min="3" max="3" width="85.5703125" style="6552" customWidth="1"/>
    <col min="4" max="4" width="17.7109375" style="6552" customWidth="1"/>
    <col min="5" max="5" width="9.140625" style="6552"/>
  </cols>
  <sheetData>
    <row r="1" spans="2:5" ht="3" customHeight="1"/>
    <row r="2" spans="2:5" ht="22.5" customHeight="1">
      <c r="B2" s="6945" t="s">
        <v>1252</v>
      </c>
      <c r="C2" s="6945"/>
      <c r="D2" s="6945"/>
      <c r="E2" s="187"/>
    </row>
    <row r="3" spans="2:5" ht="3" customHeight="1"/>
    <row r="4" spans="2:5" ht="21.75" customHeight="1">
      <c r="B4" s="317" t="s">
        <v>1253</v>
      </c>
      <c r="C4" s="317" t="s">
        <v>1254</v>
      </c>
      <c r="D4" s="317" t="s">
        <v>1255</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6552" customWidth="1"/>
    <col min="2" max="2" width="10" style="6552" customWidth="1"/>
    <col min="3" max="3" width="9.140625" style="6552"/>
    <col min="4" max="4" width="11.140625" style="6552" customWidth="1"/>
    <col min="5" max="5" width="16.5703125" style="6552" customWidth="1"/>
    <col min="6" max="6" width="16.28515625" style="6552" customWidth="1"/>
    <col min="7" max="7" width="19.140625" style="6552" customWidth="1"/>
    <col min="8" max="11" width="10" style="6552" customWidth="1"/>
    <col min="12" max="12" width="12.7109375" style="6552" customWidth="1"/>
    <col min="13" max="13" width="61.28515625" style="6552" customWidth="1"/>
    <col min="14" max="14" width="10" style="6552" customWidth="1"/>
    <col min="15" max="17" width="23.7109375" style="6552" customWidth="1"/>
    <col min="18" max="18" width="11.7109375" style="6552" customWidth="1"/>
    <col min="19" max="19" width="8.5703125" style="6552" customWidth="1"/>
    <col min="20" max="20" width="11.7109375" style="6552" customWidth="1"/>
    <col min="21" max="21" width="8.5703125" style="6552" customWidth="1"/>
    <col min="22" max="22" width="4.7109375" style="6552" customWidth="1"/>
    <col min="23" max="23" width="115.7109375" style="6552" customWidth="1"/>
    <col min="24" max="24" width="115.28515625" style="6552" customWidth="1"/>
    <col min="25" max="27" width="9.140625" style="6552"/>
    <col min="28" max="28" width="115.7109375" style="6552" customWidth="1"/>
    <col min="29" max="29" width="9.140625" style="6552"/>
    <col min="30" max="90" width="115.7109375" style="6552" customWidth="1"/>
    <col min="91" max="184" width="9.140625" style="6552"/>
  </cols>
  <sheetData>
    <row r="2" spans="1:80" s="6553" customFormat="1" ht="17.25" customHeight="1">
      <c r="A2" s="1724" t="s">
        <v>1256</v>
      </c>
    </row>
    <row r="4" spans="1:80" s="6547" customFormat="1" ht="15" customHeight="1">
      <c r="C4" s="1725"/>
      <c r="D4" s="43"/>
      <c r="E4" s="308"/>
    </row>
    <row r="6" spans="1:80" s="6553" customFormat="1" ht="17.25" customHeight="1">
      <c r="A6" s="1724" t="s">
        <v>1257</v>
      </c>
    </row>
    <row r="8" spans="1:80" s="6547" customFormat="1" ht="17.25" customHeight="1">
      <c r="C8" s="1726"/>
      <c r="D8" s="43"/>
      <c r="E8" s="44"/>
    </row>
    <row r="11" spans="1:80" s="6553" customFormat="1" ht="17.25" customHeight="1">
      <c r="A11" s="1724" t="s">
        <v>1258</v>
      </c>
    </row>
    <row r="13" spans="1:80" s="6554" customFormat="1" ht="15" customHeight="1">
      <c r="A13" s="6607">
        <v>1</v>
      </c>
      <c r="B13" s="1060"/>
      <c r="C13" s="718" t="s">
        <v>102</v>
      </c>
      <c r="D13" s="1727"/>
      <c r="E13" s="1714">
        <f>A13</f>
        <v>1</v>
      </c>
      <c r="F13" s="721"/>
      <c r="G13" s="465" t="str">
        <f>"Территория "&amp;E13</f>
        <v>Территория 1</v>
      </c>
      <c r="H13" s="709"/>
      <c r="I13" s="709"/>
      <c r="J13" s="706"/>
      <c r="K13" s="1535"/>
      <c r="L13" s="1535"/>
      <c r="M13" s="1535"/>
      <c r="N13" s="147"/>
      <c r="O13" s="1535"/>
      <c r="P13" s="146"/>
      <c r="Q13" s="146"/>
      <c r="R13" s="146"/>
      <c r="S13" s="146"/>
    </row>
    <row r="14" spans="1:80" s="1828" customFormat="1" ht="15" customHeight="1">
      <c r="A14" s="6607"/>
      <c r="B14" s="1060">
        <v>1</v>
      </c>
      <c r="C14" s="1060"/>
      <c r="D14" s="717"/>
      <c r="E14" s="1722" t="str">
        <f>A13&amp;"."&amp;B14</f>
        <v>1.1</v>
      </c>
      <c r="F14" s="720">
        <f>$F$20</f>
        <v>0</v>
      </c>
      <c r="G14" s="710"/>
      <c r="H14" s="710"/>
      <c r="I14" s="708"/>
      <c r="J14" s="1535"/>
      <c r="K14" s="1547"/>
      <c r="L14" s="1547"/>
      <c r="M14" s="1535" t="str">
        <f t="array" ref="M14">IF(ISERROR(MATCH(MID(N14,1,250),MID(note_ter,1,250),0)),"n","y")</f>
        <v>n</v>
      </c>
      <c r="N14" s="1547"/>
      <c r="O14" s="1535"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28" customFormat="1" ht="15" customHeight="1">
      <c r="A15" s="6607"/>
      <c r="B15" s="1060"/>
      <c r="C15" s="346"/>
      <c r="D15" s="718"/>
      <c r="E15" s="354"/>
      <c r="F15" s="98"/>
      <c r="G15" s="349" t="s">
        <v>101</v>
      </c>
      <c r="H15" s="108"/>
      <c r="I15" s="357"/>
      <c r="J15" s="1547"/>
      <c r="K15" s="1547"/>
      <c r="L15" s="1547"/>
      <c r="M15" s="1547"/>
      <c r="N15" s="1535"/>
      <c r="O15" s="1547"/>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6553" customFormat="1" ht="17.25" customHeight="1">
      <c r="A17" s="1724" t="s">
        <v>1259</v>
      </c>
    </row>
    <row r="19" spans="1:80" s="6511" customFormat="1" ht="15" customHeight="1">
      <c r="A19" s="1790"/>
      <c r="B19" s="1282">
        <v>1</v>
      </c>
      <c r="C19" s="1282"/>
      <c r="D19" s="717" t="s">
        <v>102</v>
      </c>
      <c r="E19" s="1786"/>
      <c r="F19" s="1791">
        <f>$F$20</f>
        <v>0</v>
      </c>
      <c r="G19" s="1795"/>
      <c r="H19" s="1795"/>
      <c r="I19" s="1793"/>
      <c r="J19" s="1535"/>
      <c r="K19" s="1547"/>
      <c r="L19" s="1547"/>
      <c r="M19" s="1535" t="str">
        <f t="array" ref="M19">IF(ISERROR(MATCH(MID(N19,1,250),MID(note_ter,1,250),0)),"n","y")</f>
        <v>n</v>
      </c>
      <c r="N19" s="1547"/>
      <c r="O19" s="1535"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28" customFormat="1" ht="15" customHeight="1">
      <c r="A21" s="1724" t="s">
        <v>1260</v>
      </c>
      <c r="B21" s="1724"/>
      <c r="C21" s="1724"/>
      <c r="D21" s="1724"/>
      <c r="E21" s="1724"/>
      <c r="F21" s="1724"/>
      <c r="G21" s="1724"/>
      <c r="H21" s="1724"/>
      <c r="I21" s="1724"/>
      <c r="J21" s="1724"/>
      <c r="K21" s="1724"/>
      <c r="L21" s="1724"/>
      <c r="M21" s="1724"/>
      <c r="N21" s="1724"/>
      <c r="O21" s="1724"/>
      <c r="P21" s="1724"/>
      <c r="Q21" s="1724"/>
      <c r="R21" s="1724"/>
      <c r="S21" s="1724"/>
      <c r="T21" s="1724"/>
      <c r="U21" s="105"/>
      <c r="V21" s="1724"/>
      <c r="W21" s="1724"/>
    </row>
    <row r="22" spans="1:80" s="1828" customFormat="1" ht="15" customHeight="1">
      <c r="U22" s="106"/>
    </row>
    <row r="23" spans="1:80" s="6555" customFormat="1" ht="15" customHeight="1">
      <c r="A23" s="356"/>
      <c r="B23" s="356"/>
      <c r="C23" s="1637" t="s">
        <v>102</v>
      </c>
      <c r="D23" s="6611" t="s">
        <v>178</v>
      </c>
      <c r="E23" s="6612"/>
      <c r="F23" s="6610" t="s">
        <v>56</v>
      </c>
      <c r="G23" s="6979"/>
      <c r="H23" s="6629">
        <v>1</v>
      </c>
      <c r="I23" s="6981" t="str">
        <f>IF(U23="","",INDEX(TERRITORY_MR_LIST,MATCH(U23,TERRITORY_LIST_ID,0)))</f>
        <v/>
      </c>
      <c r="J23" s="6610" t="s">
        <v>56</v>
      </c>
      <c r="K23" s="749"/>
      <c r="L23" s="1691" t="s">
        <v>178</v>
      </c>
      <c r="M23" s="525"/>
      <c r="N23" s="526"/>
      <c r="O23" s="526"/>
      <c r="P23" s="526"/>
      <c r="Q23" s="526"/>
      <c r="R23" s="526"/>
      <c r="S23" s="526"/>
      <c r="T23" s="526"/>
      <c r="U23" s="527"/>
      <c r="V23" s="526"/>
      <c r="W23" s="526"/>
      <c r="X23" s="518"/>
      <c r="Y23" s="518" t="s">
        <v>184</v>
      </c>
      <c r="Z23" s="518">
        <v>1705000</v>
      </c>
      <c r="AA23" s="518"/>
      <c r="AB23" s="518"/>
      <c r="AC23" s="518"/>
      <c r="AD23" s="518"/>
      <c r="AE23" s="518"/>
      <c r="AF23" s="518"/>
      <c r="AG23" s="518"/>
      <c r="AH23" s="518"/>
      <c r="AI23" s="518"/>
      <c r="AJ23" s="518"/>
      <c r="AK23" s="518"/>
      <c r="AL23" s="518"/>
    </row>
    <row r="24" spans="1:80" s="6555" customFormat="1" ht="15" customHeight="1">
      <c r="A24" s="356"/>
      <c r="B24" s="356"/>
      <c r="C24" s="97"/>
      <c r="D24" s="6611"/>
      <c r="E24" s="6613"/>
      <c r="F24" s="6610"/>
      <c r="G24" s="6980"/>
      <c r="H24" s="6629"/>
      <c r="I24" s="6982"/>
      <c r="J24" s="6610"/>
      <c r="K24" s="354"/>
      <c r="L24" s="98"/>
      <c r="M24" s="528" t="s">
        <v>185</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6555" customFormat="1" ht="15" customHeight="1">
      <c r="A25" s="356"/>
      <c r="B25" s="356"/>
      <c r="C25" s="97"/>
      <c r="D25" s="6611"/>
      <c r="E25" s="6614"/>
      <c r="F25" s="6610"/>
      <c r="G25" s="354"/>
      <c r="H25" s="98"/>
      <c r="I25" s="505" t="s">
        <v>186</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28" customFormat="1" ht="15" customHeight="1">
      <c r="U26" s="106"/>
    </row>
    <row r="27" spans="1:80" s="1828" customFormat="1" ht="15" customHeight="1">
      <c r="A27" s="1724" t="s">
        <v>1261</v>
      </c>
      <c r="B27" s="1724"/>
      <c r="C27" s="1724"/>
      <c r="D27" s="1724"/>
      <c r="E27" s="1724"/>
      <c r="F27" s="1724"/>
      <c r="G27" s="1724"/>
      <c r="H27" s="1724"/>
      <c r="I27" s="1724"/>
      <c r="J27" s="1724"/>
      <c r="K27" s="1724"/>
      <c r="L27" s="1724"/>
      <c r="M27" s="1724"/>
      <c r="N27" s="1724"/>
      <c r="O27" s="1724"/>
      <c r="P27" s="1724"/>
      <c r="Q27" s="1724"/>
      <c r="R27" s="1724"/>
      <c r="S27" s="1724"/>
      <c r="T27" s="1724"/>
      <c r="U27" s="105"/>
      <c r="V27" s="1724"/>
      <c r="W27" s="1724"/>
    </row>
    <row r="28" spans="1:80" s="1828" customFormat="1" ht="15" customHeight="1">
      <c r="U28" s="106"/>
    </row>
    <row r="29" spans="1:80" s="6555" customFormat="1" ht="15" customHeight="1">
      <c r="A29" s="356"/>
      <c r="B29" s="356"/>
      <c r="C29" s="97"/>
      <c r="D29" s="1728"/>
      <c r="E29" s="1728"/>
      <c r="F29" s="1728"/>
      <c r="G29" s="6983" t="s">
        <v>102</v>
      </c>
      <c r="H29" s="6599">
        <v>1</v>
      </c>
      <c r="I29" s="6984" t="str">
        <f>IF(U29="","",INDEX(TERRITORY_MR_LIST,MATCH(U29,TERRITORY_LIST_ID,0)))</f>
        <v/>
      </c>
      <c r="J29" s="6610" t="s">
        <v>56</v>
      </c>
      <c r="K29" s="749"/>
      <c r="L29" s="1691" t="s">
        <v>178</v>
      </c>
      <c r="M29" s="525"/>
      <c r="N29" s="526"/>
      <c r="O29" s="526"/>
      <c r="P29" s="526"/>
      <c r="Q29" s="526"/>
      <c r="R29" s="526"/>
      <c r="S29" s="526"/>
      <c r="T29" s="526"/>
      <c r="U29" s="527"/>
      <c r="V29" s="526"/>
      <c r="W29" s="526"/>
      <c r="X29" s="518"/>
      <c r="Y29" s="518" t="s">
        <v>184</v>
      </c>
      <c r="Z29" s="518">
        <v>1705000</v>
      </c>
      <c r="AA29" s="518"/>
      <c r="AB29" s="518"/>
      <c r="AC29" s="518"/>
      <c r="AD29" s="518"/>
      <c r="AE29" s="518"/>
      <c r="AF29" s="518"/>
      <c r="AG29" s="518"/>
      <c r="AH29" s="518"/>
      <c r="AI29" s="518"/>
      <c r="AJ29" s="518"/>
      <c r="AK29" s="518"/>
      <c r="AL29" s="518"/>
    </row>
    <row r="30" spans="1:80" s="6555" customFormat="1" ht="15" customHeight="1">
      <c r="A30" s="356"/>
      <c r="B30" s="356"/>
      <c r="C30" s="97"/>
      <c r="D30" s="1728"/>
      <c r="E30" s="1728"/>
      <c r="F30" s="1728"/>
      <c r="G30" s="6983"/>
      <c r="H30" s="6599"/>
      <c r="I30" s="6984"/>
      <c r="J30" s="6610"/>
      <c r="K30" s="354"/>
      <c r="L30" s="98"/>
      <c r="M30" s="528" t="s">
        <v>185</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28" customFormat="1" ht="15" customHeight="1">
      <c r="U31" s="106"/>
    </row>
    <row r="32" spans="1:80" s="1828" customFormat="1" ht="15" customHeight="1">
      <c r="A32" s="1724" t="s">
        <v>1262</v>
      </c>
      <c r="B32" s="1724"/>
      <c r="C32" s="1724"/>
      <c r="D32" s="1724"/>
      <c r="E32" s="1724"/>
      <c r="F32" s="1724"/>
      <c r="G32" s="1724"/>
      <c r="H32" s="1724"/>
      <c r="I32" s="1724"/>
      <c r="J32" s="1724"/>
      <c r="K32" s="1724"/>
      <c r="L32" s="1724"/>
      <c r="M32" s="1724"/>
      <c r="N32" s="1724"/>
      <c r="O32" s="1724"/>
      <c r="P32" s="1724"/>
      <c r="Q32" s="1724"/>
      <c r="R32" s="1724"/>
      <c r="S32" s="1724"/>
      <c r="T32" s="1724"/>
      <c r="U32" s="105"/>
      <c r="V32" s="1724"/>
      <c r="W32" s="1724"/>
    </row>
    <row r="33" spans="1:38" s="1828" customFormat="1" ht="15" customHeight="1">
      <c r="U33" s="106"/>
    </row>
    <row r="34" spans="1:38" s="6555" customFormat="1" ht="15" customHeight="1">
      <c r="A34" s="356"/>
      <c r="B34" s="356"/>
      <c r="C34" s="97"/>
      <c r="D34" s="1728"/>
      <c r="E34" s="1728"/>
      <c r="F34" s="1728"/>
      <c r="G34" s="1728"/>
      <c r="H34" s="1728"/>
      <c r="I34" s="1728"/>
      <c r="J34" s="1728"/>
      <c r="K34" s="1708" t="s">
        <v>102</v>
      </c>
      <c r="L34" s="1638" t="s">
        <v>178</v>
      </c>
      <c r="M34" s="728"/>
      <c r="N34" s="729"/>
      <c r="O34" s="526"/>
      <c r="P34" s="526"/>
      <c r="Q34" s="526"/>
      <c r="R34" s="526"/>
      <c r="S34" s="526"/>
      <c r="T34" s="526"/>
      <c r="U34" s="527"/>
      <c r="V34" s="526"/>
      <c r="W34" s="526"/>
      <c r="X34" s="518"/>
      <c r="Y34" s="518" t="s">
        <v>184</v>
      </c>
      <c r="Z34" s="518">
        <v>1705000</v>
      </c>
      <c r="AA34" s="518"/>
      <c r="AB34" s="518"/>
      <c r="AC34" s="518"/>
      <c r="AD34" s="518"/>
      <c r="AE34" s="518"/>
      <c r="AF34" s="518"/>
      <c r="AG34" s="518"/>
      <c r="AH34" s="518"/>
      <c r="AI34" s="518"/>
      <c r="AJ34" s="518"/>
      <c r="AK34" s="518"/>
      <c r="AL34" s="518"/>
    </row>
    <row r="35" spans="1:38" s="1828" customFormat="1" ht="15" customHeight="1">
      <c r="U35" s="106"/>
    </row>
    <row r="36" spans="1:38" s="1828" customFormat="1" ht="15" customHeight="1">
      <c r="U36" s="106"/>
    </row>
    <row r="37" spans="1:38" s="6553" customFormat="1" ht="11.25" customHeight="1">
      <c r="A37" s="1724" t="s">
        <v>1263</v>
      </c>
    </row>
    <row r="38" spans="1:38" ht="11.25" customHeight="1"/>
    <row r="39" spans="1:38" s="2050" customFormat="1" ht="22.5" customHeight="1">
      <c r="A39" s="1700"/>
      <c r="B39" s="385"/>
      <c r="C39" s="772"/>
      <c r="D39" s="372"/>
      <c r="E39" s="773"/>
      <c r="F39" s="1721"/>
      <c r="G39" s="1729"/>
      <c r="H39" s="402"/>
    </row>
    <row r="40" spans="1:38" ht="11.25" customHeight="1"/>
    <row r="41" spans="1:38" s="6553" customFormat="1" ht="11.25" customHeight="1">
      <c r="A41" s="1724" t="s">
        <v>1264</v>
      </c>
    </row>
    <row r="42" spans="1:38" ht="11.25" customHeight="1"/>
    <row r="43" spans="1:38" s="2050" customFormat="1" ht="22.5" customHeight="1">
      <c r="A43" s="385"/>
      <c r="B43" s="385"/>
      <c r="C43" s="385"/>
      <c r="D43" s="372"/>
      <c r="E43" s="773"/>
      <c r="F43" s="774"/>
      <c r="G43" s="1729"/>
      <c r="H43" s="402"/>
    </row>
    <row r="46" spans="1:38" s="6553" customFormat="1" ht="17.25" customHeight="1">
      <c r="A46" s="1724" t="s">
        <v>1265</v>
      </c>
    </row>
    <row r="48" spans="1:38" s="2064" customFormat="1" ht="18.75" customHeight="1">
      <c r="A48" s="23"/>
      <c r="B48" s="1730"/>
      <c r="C48" s="1730"/>
      <c r="D48" s="1731"/>
      <c r="E48" s="1718"/>
      <c r="F48" s="781">
        <v>13</v>
      </c>
      <c r="G48" s="780"/>
      <c r="H48" s="710"/>
      <c r="I48" s="708"/>
      <c r="J48" s="446" t="s">
        <v>61</v>
      </c>
      <c r="K48" s="1732" t="s">
        <v>24</v>
      </c>
      <c r="L48" s="23"/>
      <c r="M48" s="1547"/>
      <c r="N48" s="1547"/>
      <c r="O48" s="1547"/>
      <c r="P48" s="442" t="s">
        <v>512</v>
      </c>
      <c r="Q48" s="442" t="s">
        <v>513</v>
      </c>
      <c r="R48" s="443" t="s">
        <v>514</v>
      </c>
      <c r="S48" s="1547" t="s">
        <v>515</v>
      </c>
      <c r="T48" s="1547"/>
      <c r="U48" s="1547"/>
      <c r="V48" s="1547"/>
    </row>
    <row r="50" spans="1:45" s="6553" customFormat="1" ht="11.25" customHeight="1">
      <c r="A50" s="1724" t="s">
        <v>1266</v>
      </c>
    </row>
    <row r="52" spans="1:45" s="2045" customFormat="1" ht="14.25" customHeight="1">
      <c r="C52" s="1598"/>
      <c r="D52" s="1778"/>
      <c r="E52" s="1686" t="s">
        <v>24</v>
      </c>
      <c r="F52" s="1777"/>
      <c r="G52" s="769"/>
      <c r="H52" s="1687"/>
      <c r="I52" s="1687"/>
      <c r="J52" s="365"/>
      <c r="K52" s="1772"/>
      <c r="L52" s="364"/>
      <c r="M52" s="1772"/>
      <c r="N52" s="365"/>
      <c r="O52" s="1772"/>
      <c r="P52" s="365"/>
      <c r="Q52" s="1772"/>
      <c r="R52" s="365"/>
      <c r="S52" s="767"/>
      <c r="T52" s="1687"/>
      <c r="U52" s="365"/>
      <c r="V52" s="365"/>
      <c r="W52" s="1776"/>
      <c r="X52" s="1687"/>
      <c r="Y52" s="365"/>
      <c r="Z52" s="365"/>
      <c r="AA52" s="1776"/>
      <c r="AB52" s="1687"/>
      <c r="AC52" s="365"/>
      <c r="AD52" s="1776"/>
      <c r="AE52" s="23"/>
      <c r="AF52" s="23"/>
      <c r="AG52" s="23"/>
      <c r="AH52" s="23"/>
      <c r="AJ52" s="1547"/>
      <c r="AK52" s="1547"/>
      <c r="AL52" s="1547"/>
      <c r="AM52" s="1547"/>
      <c r="AN52" s="1547"/>
      <c r="AO52" s="1547"/>
      <c r="AP52" s="1535" t="s">
        <v>501</v>
      </c>
      <c r="AQ52" s="1535" t="s">
        <v>501</v>
      </c>
      <c r="AR52" s="1547"/>
      <c r="AS52" s="1547"/>
    </row>
    <row r="54" spans="1:45" s="6553" customFormat="1" ht="11.25" customHeight="1">
      <c r="A54" s="1724" t="s">
        <v>1267</v>
      </c>
    </row>
    <row r="56" spans="1:45" s="6545" customFormat="1" ht="15" customHeight="1">
      <c r="A56" s="69" t="s">
        <v>89</v>
      </c>
      <c r="B56" s="52" t="s">
        <v>24</v>
      </c>
      <c r="C56" s="1733"/>
      <c r="D56" s="55"/>
      <c r="E56" s="315"/>
      <c r="F56" s="315"/>
      <c r="G56" s="1712"/>
      <c r="H56" s="1732"/>
      <c r="I56" s="1713"/>
      <c r="K56" s="191"/>
      <c r="L56" s="192"/>
    </row>
    <row r="58" spans="1:45" s="6553" customFormat="1" ht="11.25" customHeight="1">
      <c r="A58" s="1724" t="s">
        <v>1268</v>
      </c>
    </row>
    <row r="60" spans="1:45" s="2045" customFormat="1" ht="14.25" customHeight="1">
      <c r="A60" s="269"/>
      <c r="B60" s="1060"/>
      <c r="C60" s="305"/>
      <c r="D60" s="1719"/>
      <c r="E60" s="799"/>
      <c r="F60" s="1732"/>
      <c r="G60" s="23"/>
      <c r="I60" s="1535"/>
      <c r="J60" s="1535"/>
    </row>
    <row r="62" spans="1:45" s="6553" customFormat="1" ht="11.25" customHeight="1">
      <c r="A62" s="1724" t="s">
        <v>1269</v>
      </c>
    </row>
    <row r="64" spans="1:45" s="2045" customFormat="1" ht="27" customHeight="1">
      <c r="A64" s="1066"/>
      <c r="B64" s="1066"/>
      <c r="C64" s="1066"/>
      <c r="D64" s="1060"/>
      <c r="E64" s="1734"/>
      <c r="F64" s="6996"/>
      <c r="G64" s="6997"/>
      <c r="H64" s="6998" t="s">
        <v>61</v>
      </c>
      <c r="I64" s="7000"/>
      <c r="J64" s="6974"/>
      <c r="K64" s="7002"/>
      <c r="L64" s="6976"/>
      <c r="M64" s="6976"/>
      <c r="N64" s="6977"/>
      <c r="O64" s="6977"/>
      <c r="P64" s="6978" t="e">
        <f>DATEDIF(DATEVALUE(N64),DATEVALUE(O64),"y")&amp;"г. "&amp;DATEDIF(DATEVALUE(N64),DATEVALUE(O64),"ym")&amp;"мес. "&amp;DATEVALUE(O64)-DATE(YEAR(DATEVALUE(O64)),MONTH(DATEVALUE(O64)),1)&amp;"дн. "</f>
        <v>#VALUE!</v>
      </c>
      <c r="Q64" s="6973"/>
      <c r="R64" s="6973"/>
      <c r="S64" s="6973"/>
      <c r="T64" s="6974"/>
      <c r="U64" s="6973"/>
      <c r="V64" s="6973"/>
      <c r="W64" s="6973"/>
      <c r="X64" s="6974"/>
      <c r="Y64" s="6971" t="s">
        <v>61</v>
      </c>
      <c r="Z64" s="1717"/>
      <c r="AA64" s="1701">
        <v>1</v>
      </c>
      <c r="AB64" s="1151"/>
      <c r="AD64" s="1547" t="s">
        <v>1270</v>
      </c>
    </row>
    <row r="65" spans="1:58" s="2045" customFormat="1" ht="10.5" customHeight="1">
      <c r="A65" s="1066"/>
      <c r="B65" s="1066"/>
      <c r="C65" s="1066"/>
      <c r="D65" s="1060"/>
      <c r="E65" s="856"/>
      <c r="F65" s="6996"/>
      <c r="G65" s="6997"/>
      <c r="H65" s="6999"/>
      <c r="I65" s="7001"/>
      <c r="J65" s="6975"/>
      <c r="K65" s="7002"/>
      <c r="L65" s="6976"/>
      <c r="M65" s="6976"/>
      <c r="N65" s="6977"/>
      <c r="O65" s="6977"/>
      <c r="P65" s="6978"/>
      <c r="Q65" s="6973"/>
      <c r="R65" s="6973"/>
      <c r="S65" s="6973"/>
      <c r="T65" s="6975"/>
      <c r="U65" s="6973"/>
      <c r="V65" s="6973"/>
      <c r="W65" s="6973"/>
      <c r="X65" s="6975"/>
      <c r="Y65" s="6972"/>
      <c r="Z65" s="273"/>
      <c r="AA65" s="497"/>
      <c r="AB65" s="573" t="s">
        <v>1271</v>
      </c>
    </row>
    <row r="67" spans="1:58" s="6553" customFormat="1" ht="11.25" customHeight="1">
      <c r="A67" s="1724" t="s">
        <v>1272</v>
      </c>
    </row>
    <row r="69" spans="1:58" s="2045" customFormat="1" ht="27" customHeight="1">
      <c r="A69" s="1066"/>
      <c r="B69" s="1066"/>
      <c r="C69" s="1066"/>
      <c r="D69" s="1060"/>
      <c r="E69" s="1734"/>
      <c r="F69" s="1706"/>
      <c r="G69" s="1655"/>
      <c r="H69" s="1656"/>
      <c r="I69" s="1657"/>
      <c r="J69" s="1658"/>
      <c r="K69" s="1659"/>
      <c r="L69" s="1660"/>
      <c r="M69" s="1660"/>
      <c r="N69" s="1661"/>
      <c r="O69" s="1661"/>
      <c r="P69" s="1662"/>
      <c r="Q69" s="1663"/>
      <c r="R69" s="1663"/>
      <c r="S69" s="1663"/>
      <c r="T69" s="1658"/>
      <c r="U69" s="1663"/>
      <c r="V69" s="1663"/>
      <c r="W69" s="1663"/>
      <c r="X69" s="1658"/>
      <c r="Y69" s="1656"/>
      <c r="Z69" s="1717"/>
      <c r="AA69" s="1701">
        <v>1</v>
      </c>
      <c r="AB69" s="1151"/>
      <c r="AD69" s="1547" t="s">
        <v>1270</v>
      </c>
    </row>
    <row r="71" spans="1:58" s="6553" customFormat="1" ht="11.25" customHeight="1">
      <c r="A71" s="1724" t="s">
        <v>1273</v>
      </c>
    </row>
    <row r="72" spans="1:58" ht="17.25" customHeight="1"/>
    <row r="73" spans="1:58" s="2045"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0"/>
      <c r="AN73" s="1730"/>
      <c r="AO73" s="1730"/>
      <c r="AP73" s="1730"/>
      <c r="AQ73" s="1730"/>
      <c r="AR73" s="1730"/>
      <c r="AS73" s="1730"/>
      <c r="AT73" s="1730"/>
      <c r="AU73" s="1730"/>
      <c r="AV73" s="1730"/>
      <c r="AW73" s="1730"/>
      <c r="AX73" s="1730"/>
      <c r="AY73" s="1730"/>
      <c r="AZ73" s="1730"/>
      <c r="BA73" s="1730"/>
      <c r="BB73" s="1730"/>
      <c r="BC73" s="1730"/>
      <c r="BD73" s="1730"/>
      <c r="BE73" s="1730"/>
      <c r="BF73" s="1730"/>
    </row>
    <row r="74" spans="1:58" s="2045" customFormat="1" ht="11.25" customHeight="1">
      <c r="A74" s="1066"/>
      <c r="B74" s="1066"/>
      <c r="C74" s="1066"/>
      <c r="D74" s="1060"/>
      <c r="E74" s="1070"/>
      <c r="F74" s="6969"/>
      <c r="G74" s="6884"/>
      <c r="H74" s="6884" t="s">
        <v>178</v>
      </c>
      <c r="I74" s="6955"/>
      <c r="J74" s="6944"/>
      <c r="K74" s="6956"/>
      <c r="L74" s="6948" t="s">
        <v>56</v>
      </c>
      <c r="M74" s="6611"/>
      <c r="N74" s="1079"/>
      <c r="O74" s="1078" t="s">
        <v>496</v>
      </c>
      <c r="P74" s="1079"/>
      <c r="Q74" s="1079"/>
      <c r="R74" s="1079"/>
      <c r="S74" s="1079"/>
      <c r="T74" s="1079"/>
      <c r="U74" s="1079"/>
      <c r="V74" s="1079"/>
      <c r="W74" s="1079"/>
      <c r="X74" s="1079"/>
      <c r="Y74" s="1079"/>
      <c r="Z74" s="1079"/>
      <c r="AA74" s="1079"/>
      <c r="AB74" s="1079"/>
      <c r="AC74" s="1079"/>
      <c r="AD74" s="1079"/>
      <c r="AE74" s="1079"/>
      <c r="AF74" s="6947"/>
      <c r="AG74" s="6948"/>
      <c r="AH74" s="6948"/>
      <c r="AI74" s="6947"/>
      <c r="AJ74" s="6948"/>
      <c r="AK74" s="6948"/>
      <c r="AL74" s="1073"/>
      <c r="AM74" s="1730"/>
      <c r="AN74" s="1730"/>
      <c r="AO74" s="1730"/>
      <c r="AP74" s="1730"/>
      <c r="AQ74" s="1730"/>
      <c r="AR74" s="1730"/>
      <c r="AS74" s="1730"/>
      <c r="AT74" s="1730"/>
      <c r="AU74" s="1730"/>
      <c r="AV74" s="1730"/>
      <c r="AW74" s="1730"/>
      <c r="AX74" s="1730"/>
      <c r="AY74" s="1730"/>
      <c r="AZ74" s="1730"/>
      <c r="BA74" s="1730"/>
      <c r="BB74" s="1730"/>
      <c r="BC74" s="1730"/>
      <c r="BD74" s="1730"/>
      <c r="BE74" s="1730"/>
      <c r="BF74" s="1730"/>
    </row>
    <row r="75" spans="1:58" s="2045" customFormat="1" ht="11.25" customHeight="1">
      <c r="A75" s="1066"/>
      <c r="B75" s="1066"/>
      <c r="C75" s="1066"/>
      <c r="D75" s="1060"/>
      <c r="E75" s="1070"/>
      <c r="F75" s="6969"/>
      <c r="G75" s="6884"/>
      <c r="H75" s="6884"/>
      <c r="I75" s="6955"/>
      <c r="J75" s="6944"/>
      <c r="K75" s="6956"/>
      <c r="L75" s="6948"/>
      <c r="M75" s="6611"/>
      <c r="N75" s="6949"/>
      <c r="O75" s="6950">
        <v>1</v>
      </c>
      <c r="P75" s="6951" t="s">
        <v>56</v>
      </c>
      <c r="Q75" s="6865" t="s">
        <v>24</v>
      </c>
      <c r="R75" s="6865" t="s">
        <v>24</v>
      </c>
      <c r="S75" s="6865" t="s">
        <v>24</v>
      </c>
      <c r="T75" s="6865" t="s">
        <v>24</v>
      </c>
      <c r="U75" s="6865" t="s">
        <v>24</v>
      </c>
      <c r="V75" s="6865" t="s">
        <v>24</v>
      </c>
      <c r="W75" s="6865" t="s">
        <v>24</v>
      </c>
      <c r="X75" s="6865" t="s">
        <v>24</v>
      </c>
      <c r="Y75" s="6865"/>
      <c r="Z75" s="1076"/>
      <c r="AA75" s="1077"/>
      <c r="AB75" s="1077"/>
      <c r="AC75" s="1081"/>
      <c r="AD75" s="1081"/>
      <c r="AE75" s="1082"/>
      <c r="AF75" s="6947"/>
      <c r="AG75" s="6948"/>
      <c r="AH75" s="6948"/>
      <c r="AI75" s="6947"/>
      <c r="AJ75" s="6948"/>
      <c r="AK75" s="6948"/>
      <c r="AL75" s="1073"/>
      <c r="AM75" s="1730"/>
      <c r="AN75" s="1730"/>
      <c r="AO75" s="1730"/>
      <c r="AP75" s="1730"/>
      <c r="AQ75" s="1730"/>
      <c r="AR75" s="1730"/>
      <c r="AS75" s="1730"/>
      <c r="AT75" s="1730"/>
      <c r="AU75" s="1730"/>
      <c r="AV75" s="1730"/>
      <c r="AW75" s="1730"/>
      <c r="AX75" s="1730"/>
      <c r="AY75" s="1730"/>
      <c r="AZ75" s="1730"/>
      <c r="BA75" s="1730"/>
      <c r="BB75" s="1730"/>
      <c r="BC75" s="1730"/>
      <c r="BD75" s="1730"/>
      <c r="BE75" s="1730"/>
      <c r="BF75" s="1730"/>
    </row>
    <row r="76" spans="1:58" s="2045" customFormat="1" ht="11.25" customHeight="1">
      <c r="A76" s="1066"/>
      <c r="B76" s="1066"/>
      <c r="C76" s="1066"/>
      <c r="D76" s="1060"/>
      <c r="E76" s="1070"/>
      <c r="F76" s="6969"/>
      <c r="G76" s="6884"/>
      <c r="H76" s="6884"/>
      <c r="I76" s="6955"/>
      <c r="J76" s="6944"/>
      <c r="K76" s="6956"/>
      <c r="L76" s="6948"/>
      <c r="M76" s="6611"/>
      <c r="N76" s="6949"/>
      <c r="O76" s="6950"/>
      <c r="P76" s="6952"/>
      <c r="Q76" s="6865"/>
      <c r="R76" s="6865"/>
      <c r="S76" s="6954"/>
      <c r="T76" s="6865"/>
      <c r="U76" s="6865"/>
      <c r="V76" s="6865"/>
      <c r="W76" s="6865"/>
      <c r="X76" s="6865"/>
      <c r="Y76" s="6865"/>
      <c r="Z76" s="1735"/>
      <c r="AA76" s="1703">
        <v>1</v>
      </c>
      <c r="AB76" s="1080"/>
      <c r="AC76" s="1069"/>
      <c r="AD76" s="1080">
        <f>AB76</f>
        <v>0</v>
      </c>
      <c r="AE76" s="1069"/>
      <c r="AF76" s="6947"/>
      <c r="AG76" s="6948"/>
      <c r="AH76" s="6948"/>
      <c r="AI76" s="6947"/>
      <c r="AJ76" s="6948"/>
      <c r="AK76" s="6948"/>
      <c r="AL76" s="1073"/>
      <c r="AM76" s="1730"/>
      <c r="AN76" s="1730"/>
      <c r="AO76" s="1730"/>
      <c r="AP76" s="1730"/>
      <c r="AQ76" s="1730"/>
      <c r="AR76" s="1730"/>
      <c r="AS76" s="1730"/>
      <c r="AT76" s="1730"/>
      <c r="AU76" s="1730"/>
      <c r="AV76" s="1730"/>
      <c r="AW76" s="1730"/>
      <c r="AX76" s="1730"/>
      <c r="AY76" s="1730"/>
      <c r="AZ76" s="1730"/>
      <c r="BA76" s="1730"/>
      <c r="BB76" s="1730"/>
      <c r="BC76" s="1730"/>
      <c r="BD76" s="1730"/>
      <c r="BE76" s="1730"/>
      <c r="BF76" s="1730"/>
    </row>
    <row r="77" spans="1:58" s="2045" customFormat="1" ht="11.25" customHeight="1">
      <c r="A77" s="1066"/>
      <c r="B77" s="1066"/>
      <c r="C77" s="1066"/>
      <c r="D77" s="1060"/>
      <c r="E77" s="1070"/>
      <c r="F77" s="6969"/>
      <c r="G77" s="6884"/>
      <c r="H77" s="6884"/>
      <c r="I77" s="6955"/>
      <c r="J77" s="6944"/>
      <c r="K77" s="6956"/>
      <c r="L77" s="6948"/>
      <c r="M77" s="6611"/>
      <c r="N77" s="6949"/>
      <c r="O77" s="6950"/>
      <c r="P77" s="6953"/>
      <c r="Q77" s="6865"/>
      <c r="R77" s="6865"/>
      <c r="S77" s="6954"/>
      <c r="T77" s="6865"/>
      <c r="U77" s="6865"/>
      <c r="V77" s="6865"/>
      <c r="W77" s="6865"/>
      <c r="X77" s="6865"/>
      <c r="Y77" s="6865"/>
      <c r="Z77" s="1076"/>
      <c r="AA77" s="1077"/>
      <c r="AB77" s="1150" t="s">
        <v>1274</v>
      </c>
      <c r="AC77" s="1081"/>
      <c r="AD77" s="1081"/>
      <c r="AE77" s="1083"/>
      <c r="AF77" s="6947"/>
      <c r="AG77" s="6948"/>
      <c r="AH77" s="6948"/>
      <c r="AI77" s="6947"/>
      <c r="AJ77" s="6948"/>
      <c r="AK77" s="6948"/>
      <c r="AL77" s="1073"/>
      <c r="AM77" s="1730"/>
      <c r="AN77" s="1730"/>
      <c r="AO77" s="1730"/>
      <c r="AP77" s="1730"/>
      <c r="AQ77" s="1730"/>
      <c r="AR77" s="1730"/>
      <c r="AS77" s="1730"/>
      <c r="AT77" s="1730"/>
      <c r="AU77" s="1730"/>
      <c r="AV77" s="1730"/>
      <c r="AW77" s="1730"/>
      <c r="AX77" s="1730"/>
      <c r="AY77" s="1730"/>
      <c r="AZ77" s="1730"/>
      <c r="BA77" s="1730"/>
      <c r="BB77" s="1730"/>
      <c r="BC77" s="1730"/>
      <c r="BD77" s="1730"/>
      <c r="BE77" s="1730"/>
      <c r="BF77" s="1730"/>
    </row>
    <row r="78" spans="1:58" s="2045" customFormat="1" ht="11.25" customHeight="1">
      <c r="A78" s="1066"/>
      <c r="B78" s="1066"/>
      <c r="C78" s="1066"/>
      <c r="D78" s="1060"/>
      <c r="E78" s="1070"/>
      <c r="F78" s="6969"/>
      <c r="G78" s="6884"/>
      <c r="H78" s="6884"/>
      <c r="I78" s="6955"/>
      <c r="J78" s="6944"/>
      <c r="K78" s="6956"/>
      <c r="L78" s="6948"/>
      <c r="M78" s="6611"/>
      <c r="N78" s="1077"/>
      <c r="O78" s="1077"/>
      <c r="P78" s="1068" t="s">
        <v>1275</v>
      </c>
      <c r="Q78" s="1077"/>
      <c r="R78" s="1077"/>
      <c r="S78" s="1077"/>
      <c r="T78" s="1077"/>
      <c r="U78" s="1077"/>
      <c r="V78" s="1077"/>
      <c r="W78" s="1077"/>
      <c r="X78" s="1077"/>
      <c r="Y78" s="1077"/>
      <c r="Z78" s="1077"/>
      <c r="AA78" s="1077"/>
      <c r="AB78" s="1077"/>
      <c r="AC78" s="1077"/>
      <c r="AD78" s="1077"/>
      <c r="AE78" s="1084"/>
      <c r="AF78" s="6947"/>
      <c r="AG78" s="6948"/>
      <c r="AH78" s="6948"/>
      <c r="AI78" s="6947"/>
      <c r="AJ78" s="6948"/>
      <c r="AK78" s="6948"/>
      <c r="AL78" s="1073"/>
      <c r="AM78" s="1730"/>
      <c r="AN78" s="1730"/>
      <c r="AO78" s="1730"/>
      <c r="AP78" s="1730"/>
      <c r="AQ78" s="1730"/>
      <c r="AR78" s="1730"/>
      <c r="AS78" s="1730"/>
      <c r="AT78" s="1730"/>
      <c r="AU78" s="1730"/>
      <c r="AV78" s="1730"/>
      <c r="AW78" s="1730"/>
      <c r="AX78" s="1730"/>
      <c r="AY78" s="1730"/>
      <c r="AZ78" s="1730"/>
      <c r="BA78" s="1730"/>
      <c r="BB78" s="1730"/>
      <c r="BC78" s="1730"/>
      <c r="BD78" s="1730"/>
      <c r="BE78" s="1730"/>
      <c r="BF78" s="1730"/>
    </row>
    <row r="79" spans="1:58" s="2045" customFormat="1" ht="12" customHeight="1">
      <c r="A79" s="1066"/>
      <c r="B79" s="1066"/>
      <c r="C79" s="1066"/>
      <c r="D79" s="1060"/>
      <c r="E79" s="1070"/>
      <c r="F79" s="6970"/>
      <c r="G79" s="1092"/>
      <c r="H79" s="1092"/>
      <c r="I79" s="6968" t="s">
        <v>1276</v>
      </c>
      <c r="J79" s="6968"/>
      <c r="K79" s="6968"/>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0"/>
      <c r="AN79" s="1730"/>
      <c r="AO79" s="1730"/>
      <c r="AP79" s="1730"/>
      <c r="AQ79" s="1730"/>
      <c r="AR79" s="1730"/>
      <c r="AS79" s="1730"/>
      <c r="AT79" s="1730"/>
      <c r="AU79" s="1730"/>
      <c r="AV79" s="1730"/>
      <c r="AW79" s="1730"/>
      <c r="AX79" s="1730"/>
      <c r="AY79" s="1730"/>
      <c r="AZ79" s="1730"/>
      <c r="BA79" s="1730"/>
      <c r="BB79" s="1730"/>
      <c r="BC79" s="1730"/>
      <c r="BD79" s="1730"/>
      <c r="BE79" s="1730"/>
      <c r="BF79" s="1730"/>
    </row>
    <row r="81" spans="1:58" s="6553" customFormat="1" ht="11.25" customHeight="1">
      <c r="A81" s="1724" t="s">
        <v>1277</v>
      </c>
    </row>
    <row r="83" spans="1:58" s="2045" customFormat="1" ht="11.25" customHeight="1">
      <c r="A83" s="1066"/>
      <c r="B83" s="1066"/>
      <c r="C83" s="1066"/>
      <c r="D83" s="1060"/>
      <c r="E83" s="1070"/>
      <c r="F83" s="1736"/>
      <c r="G83" s="1737"/>
      <c r="H83" s="1737"/>
      <c r="I83" s="1672"/>
      <c r="J83" s="1672"/>
      <c r="K83" s="1738"/>
      <c r="L83" s="1672"/>
      <c r="M83" s="1737"/>
      <c r="N83" s="6995"/>
      <c r="O83" s="6950">
        <v>1</v>
      </c>
      <c r="P83" s="6951" t="s">
        <v>56</v>
      </c>
      <c r="Q83" s="6865" t="s">
        <v>24</v>
      </c>
      <c r="R83" s="6865" t="s">
        <v>24</v>
      </c>
      <c r="S83" s="6865" t="s">
        <v>24</v>
      </c>
      <c r="T83" s="6865" t="s">
        <v>24</v>
      </c>
      <c r="U83" s="6865" t="s">
        <v>24</v>
      </c>
      <c r="V83" s="6865" t="s">
        <v>24</v>
      </c>
      <c r="W83" s="6865" t="s">
        <v>24</v>
      </c>
      <c r="X83" s="6865" t="s">
        <v>24</v>
      </c>
      <c r="Y83" s="6865"/>
      <c r="Z83" s="1076"/>
      <c r="AA83" s="1077"/>
      <c r="AB83" s="1077"/>
      <c r="AC83" s="1081"/>
      <c r="AD83" s="1081"/>
      <c r="AE83" s="1081"/>
      <c r="AF83" s="1739"/>
      <c r="AG83" s="1667"/>
      <c r="AH83" s="1667"/>
      <c r="AI83" s="1739"/>
      <c r="AJ83" s="1667"/>
      <c r="AK83" s="1667"/>
      <c r="AL83" s="1073"/>
      <c r="AM83" s="1730"/>
      <c r="AN83" s="1730"/>
      <c r="AO83" s="1730"/>
      <c r="AP83" s="1730"/>
      <c r="AQ83" s="1730"/>
      <c r="AR83" s="1730"/>
      <c r="AS83" s="1730"/>
      <c r="AT83" s="1730"/>
      <c r="AU83" s="1730"/>
      <c r="AV83" s="1730"/>
      <c r="AW83" s="1730"/>
      <c r="AX83" s="1730"/>
      <c r="AY83" s="1730"/>
      <c r="AZ83" s="1730"/>
      <c r="BA83" s="1730"/>
      <c r="BB83" s="1730"/>
      <c r="BC83" s="1730"/>
      <c r="BD83" s="1730"/>
      <c r="BE83" s="1730"/>
      <c r="BF83" s="1730"/>
    </row>
    <row r="84" spans="1:58" s="2045" customFormat="1" ht="11.25" customHeight="1">
      <c r="A84" s="1066"/>
      <c r="B84" s="1066"/>
      <c r="C84" s="1066"/>
      <c r="D84" s="1060"/>
      <c r="E84" s="1070"/>
      <c r="F84" s="1736"/>
      <c r="G84" s="1737"/>
      <c r="H84" s="1737"/>
      <c r="I84" s="1673"/>
      <c r="J84" s="1673"/>
      <c r="K84" s="1738"/>
      <c r="L84" s="1673"/>
      <c r="M84" s="1737"/>
      <c r="N84" s="6995"/>
      <c r="O84" s="6950"/>
      <c r="P84" s="6952"/>
      <c r="Q84" s="6865"/>
      <c r="R84" s="6865"/>
      <c r="S84" s="6954"/>
      <c r="T84" s="6865"/>
      <c r="U84" s="6865"/>
      <c r="V84" s="6865"/>
      <c r="W84" s="6865"/>
      <c r="X84" s="6865"/>
      <c r="Y84" s="6865"/>
      <c r="Z84" s="1735"/>
      <c r="AA84" s="1703">
        <v>1</v>
      </c>
      <c r="AB84" s="1080"/>
      <c r="AC84" s="1069"/>
      <c r="AD84" s="1080">
        <f>AB84</f>
        <v>0</v>
      </c>
      <c r="AE84" s="643"/>
      <c r="AF84" s="1738"/>
      <c r="AG84" s="1667"/>
      <c r="AH84" s="1667"/>
      <c r="AI84" s="1738"/>
      <c r="AJ84" s="1667"/>
      <c r="AK84" s="1667"/>
      <c r="AL84" s="1073"/>
      <c r="AM84" s="1730"/>
      <c r="AN84" s="1730"/>
      <c r="AO84" s="1730"/>
      <c r="AP84" s="1730"/>
      <c r="AQ84" s="1730"/>
      <c r="AR84" s="1730"/>
      <c r="AS84" s="1730"/>
      <c r="AT84" s="1730"/>
      <c r="AU84" s="1730"/>
      <c r="AV84" s="1730"/>
      <c r="AW84" s="1730"/>
      <c r="AX84" s="1730"/>
      <c r="AY84" s="1730"/>
      <c r="AZ84" s="1730"/>
      <c r="BA84" s="1730"/>
      <c r="BB84" s="1730"/>
      <c r="BC84" s="1730"/>
      <c r="BD84" s="1730"/>
      <c r="BE84" s="1730"/>
      <c r="BF84" s="1730"/>
    </row>
    <row r="85" spans="1:58" s="2045" customFormat="1" ht="11.25" customHeight="1">
      <c r="A85" s="1066"/>
      <c r="B85" s="1066"/>
      <c r="C85" s="1066"/>
      <c r="D85" s="1060"/>
      <c r="E85" s="1070"/>
      <c r="F85" s="1736"/>
      <c r="G85" s="1737"/>
      <c r="H85" s="1737"/>
      <c r="I85" s="1674"/>
      <c r="J85" s="1674"/>
      <c r="K85" s="1738"/>
      <c r="L85" s="1674"/>
      <c r="M85" s="1737"/>
      <c r="N85" s="6995"/>
      <c r="O85" s="6950"/>
      <c r="P85" s="6953"/>
      <c r="Q85" s="6865"/>
      <c r="R85" s="6865"/>
      <c r="S85" s="6954"/>
      <c r="T85" s="6865"/>
      <c r="U85" s="6865"/>
      <c r="V85" s="6865"/>
      <c r="W85" s="6865"/>
      <c r="X85" s="6865"/>
      <c r="Y85" s="6865"/>
      <c r="Z85" s="1076"/>
      <c r="AA85" s="1077"/>
      <c r="AB85" s="1150" t="s">
        <v>1274</v>
      </c>
      <c r="AC85" s="1081"/>
      <c r="AD85" s="1081"/>
      <c r="AE85" s="1081"/>
      <c r="AF85" s="1740"/>
      <c r="AG85" s="1667"/>
      <c r="AH85" s="1667"/>
      <c r="AI85" s="1740"/>
      <c r="AJ85" s="1667"/>
      <c r="AK85" s="1667"/>
      <c r="AL85" s="1073"/>
      <c r="AM85" s="1730"/>
      <c r="AN85" s="1730"/>
      <c r="AO85" s="1730"/>
      <c r="AP85" s="1730"/>
      <c r="AQ85" s="1730"/>
      <c r="AR85" s="1730"/>
      <c r="AS85" s="1730"/>
      <c r="AT85" s="1730"/>
      <c r="AU85" s="1730"/>
      <c r="AV85" s="1730"/>
      <c r="AW85" s="1730"/>
      <c r="AX85" s="1730"/>
      <c r="AY85" s="1730"/>
      <c r="AZ85" s="1730"/>
      <c r="BA85" s="1730"/>
      <c r="BB85" s="1730"/>
      <c r="BC85" s="1730"/>
      <c r="BD85" s="1730"/>
      <c r="BE85" s="1730"/>
      <c r="BF85" s="1730"/>
    </row>
    <row r="87" spans="1:58" s="6553" customFormat="1" ht="11.25" customHeight="1">
      <c r="A87" s="1724" t="s">
        <v>1278</v>
      </c>
    </row>
    <row r="89" spans="1:58" s="2045" customFormat="1" ht="11.25" customHeight="1">
      <c r="A89" s="1066"/>
      <c r="B89" s="1066"/>
      <c r="C89" s="1066"/>
      <c r="D89" s="1060"/>
      <c r="E89" s="1070"/>
      <c r="F89" s="1737"/>
      <c r="G89" s="1737"/>
      <c r="H89" s="1737"/>
      <c r="I89" s="1737"/>
      <c r="J89" s="1737"/>
      <c r="K89" s="1737"/>
      <c r="L89" s="1737"/>
      <c r="M89" s="1737"/>
      <c r="N89" s="1737"/>
      <c r="O89" s="1737"/>
      <c r="P89" s="1737"/>
      <c r="Q89" s="1737"/>
      <c r="R89" s="1737"/>
      <c r="S89" s="1737"/>
      <c r="T89" s="1737"/>
      <c r="U89" s="1737"/>
      <c r="V89" s="1737"/>
      <c r="W89" s="1737"/>
      <c r="X89" s="1737"/>
      <c r="Y89" s="1737"/>
      <c r="Z89" s="1741"/>
      <c r="AA89" s="1723">
        <v>1</v>
      </c>
      <c r="AB89" s="1080"/>
      <c r="AC89" s="1069"/>
      <c r="AD89" s="1080">
        <f>AB89</f>
        <v>0</v>
      </c>
      <c r="AE89" s="1069"/>
      <c r="AF89" s="1738"/>
      <c r="AG89" s="1667"/>
      <c r="AH89" s="1667"/>
      <c r="AI89" s="1738"/>
      <c r="AJ89" s="1667"/>
      <c r="AK89" s="1667"/>
      <c r="AL89" s="1073"/>
      <c r="AM89" s="1730"/>
      <c r="AN89" s="1730"/>
      <c r="AO89" s="1730"/>
      <c r="AP89" s="1730"/>
      <c r="AQ89" s="1730"/>
      <c r="AR89" s="1730"/>
      <c r="AS89" s="1730"/>
      <c r="AT89" s="1730"/>
      <c r="AU89" s="1730"/>
      <c r="AV89" s="1730"/>
      <c r="AW89" s="1730"/>
      <c r="AX89" s="1730"/>
      <c r="AY89" s="1730"/>
      <c r="AZ89" s="1730"/>
      <c r="BA89" s="1730"/>
      <c r="BB89" s="1730"/>
      <c r="BC89" s="1730"/>
      <c r="BD89" s="1730"/>
      <c r="BE89" s="1730"/>
      <c r="BF89" s="1730"/>
    </row>
    <row r="91" spans="1:58" s="6553" customFormat="1" ht="11.25" customHeight="1">
      <c r="A91" s="1724" t="s">
        <v>1279</v>
      </c>
    </row>
    <row r="93" spans="1:58" s="2045" customFormat="1" ht="11.25" customHeight="1">
      <c r="A93" s="1066"/>
      <c r="B93" s="1066"/>
      <c r="C93" s="1066"/>
      <c r="D93" s="1060"/>
      <c r="E93" s="1070"/>
      <c r="F93" s="1736"/>
      <c r="G93" s="1737"/>
      <c r="H93" s="6884" t="s">
        <v>178</v>
      </c>
      <c r="I93" s="6955"/>
      <c r="J93" s="6944"/>
      <c r="K93" s="6956"/>
      <c r="L93" s="6948" t="s">
        <v>56</v>
      </c>
      <c r="M93" s="6611"/>
      <c r="N93" s="1079"/>
      <c r="O93" s="1078" t="s">
        <v>496</v>
      </c>
      <c r="P93" s="1079"/>
      <c r="Q93" s="1079"/>
      <c r="R93" s="1079"/>
      <c r="S93" s="1079"/>
      <c r="T93" s="1079"/>
      <c r="U93" s="1079"/>
      <c r="V93" s="1079"/>
      <c r="W93" s="1079"/>
      <c r="X93" s="1079"/>
      <c r="Y93" s="1079"/>
      <c r="Z93" s="1079"/>
      <c r="AA93" s="1079"/>
      <c r="AB93" s="1079"/>
      <c r="AC93" s="1079"/>
      <c r="AD93" s="1079"/>
      <c r="AE93" s="1079"/>
      <c r="AF93" s="6947"/>
      <c r="AG93" s="6948"/>
      <c r="AH93" s="6948"/>
      <c r="AI93" s="6947"/>
      <c r="AJ93" s="6948"/>
      <c r="AK93" s="6948"/>
      <c r="AL93" s="1073"/>
      <c r="AM93" s="1730"/>
      <c r="AN93" s="1730"/>
      <c r="AO93" s="1730"/>
      <c r="AP93" s="1730"/>
      <c r="AQ93" s="1730"/>
      <c r="AR93" s="1730"/>
      <c r="AS93" s="1730"/>
      <c r="AT93" s="1730"/>
      <c r="AU93" s="1730"/>
      <c r="AV93" s="1730"/>
      <c r="AW93" s="1730"/>
      <c r="AX93" s="1730"/>
      <c r="AY93" s="1730"/>
      <c r="AZ93" s="1730"/>
      <c r="BA93" s="1730"/>
      <c r="BB93" s="1730"/>
      <c r="BC93" s="1730"/>
      <c r="BD93" s="1730"/>
      <c r="BE93" s="1730"/>
      <c r="BF93" s="1730"/>
    </row>
    <row r="94" spans="1:58" s="2045" customFormat="1" ht="11.25" customHeight="1">
      <c r="A94" s="1066"/>
      <c r="B94" s="1066"/>
      <c r="C94" s="1066"/>
      <c r="D94" s="1060"/>
      <c r="E94" s="1070"/>
      <c r="F94" s="1736"/>
      <c r="G94" s="1737"/>
      <c r="H94" s="6884"/>
      <c r="I94" s="6955"/>
      <c r="J94" s="6944"/>
      <c r="K94" s="6956"/>
      <c r="L94" s="6948"/>
      <c r="M94" s="6611"/>
      <c r="N94" s="6949"/>
      <c r="O94" s="6950">
        <v>1</v>
      </c>
      <c r="P94" s="6951" t="s">
        <v>56</v>
      </c>
      <c r="Q94" s="6865" t="s">
        <v>24</v>
      </c>
      <c r="R94" s="6865" t="s">
        <v>24</v>
      </c>
      <c r="S94" s="6865" t="s">
        <v>24</v>
      </c>
      <c r="T94" s="6865" t="s">
        <v>24</v>
      </c>
      <c r="U94" s="6865" t="s">
        <v>24</v>
      </c>
      <c r="V94" s="6865" t="s">
        <v>24</v>
      </c>
      <c r="W94" s="6865" t="s">
        <v>24</v>
      </c>
      <c r="X94" s="6865" t="s">
        <v>24</v>
      </c>
      <c r="Y94" s="6865"/>
      <c r="Z94" s="1076"/>
      <c r="AA94" s="1077"/>
      <c r="AB94" s="1077"/>
      <c r="AC94" s="1081"/>
      <c r="AD94" s="1081"/>
      <c r="AE94" s="1082"/>
      <c r="AF94" s="6947"/>
      <c r="AG94" s="6948"/>
      <c r="AH94" s="6948"/>
      <c r="AI94" s="6947"/>
      <c r="AJ94" s="6948"/>
      <c r="AK94" s="6948"/>
      <c r="AL94" s="1073"/>
      <c r="AM94" s="1730"/>
      <c r="AN94" s="1730"/>
      <c r="AO94" s="1730"/>
      <c r="AP94" s="1730"/>
      <c r="AQ94" s="1730"/>
      <c r="AR94" s="1730"/>
      <c r="AS94" s="1730"/>
      <c r="AT94" s="1730"/>
      <c r="AU94" s="1730"/>
      <c r="AV94" s="1730"/>
      <c r="AW94" s="1730"/>
      <c r="AX94" s="1730"/>
      <c r="AY94" s="1730"/>
      <c r="AZ94" s="1730"/>
      <c r="BA94" s="1730"/>
      <c r="BB94" s="1730"/>
      <c r="BC94" s="1730"/>
      <c r="BD94" s="1730"/>
      <c r="BE94" s="1730"/>
      <c r="BF94" s="1730"/>
    </row>
    <row r="95" spans="1:58" s="2045" customFormat="1" ht="11.25" customHeight="1">
      <c r="A95" s="1066"/>
      <c r="B95" s="1066"/>
      <c r="C95" s="1066"/>
      <c r="D95" s="1060"/>
      <c r="E95" s="1070"/>
      <c r="F95" s="1736"/>
      <c r="G95" s="1737"/>
      <c r="H95" s="6884"/>
      <c r="I95" s="6955"/>
      <c r="J95" s="6944"/>
      <c r="K95" s="6956"/>
      <c r="L95" s="6948"/>
      <c r="M95" s="6611"/>
      <c r="N95" s="6949"/>
      <c r="O95" s="6950"/>
      <c r="P95" s="6952"/>
      <c r="Q95" s="6865"/>
      <c r="R95" s="6865"/>
      <c r="S95" s="6954"/>
      <c r="T95" s="6865"/>
      <c r="U95" s="6865"/>
      <c r="V95" s="6865"/>
      <c r="W95" s="6865"/>
      <c r="X95" s="6865"/>
      <c r="Y95" s="6865"/>
      <c r="Z95" s="1735"/>
      <c r="AA95" s="1703">
        <v>1</v>
      </c>
      <c r="AB95" s="1080"/>
      <c r="AC95" s="1069"/>
      <c r="AD95" s="1080">
        <f>AB95</f>
        <v>0</v>
      </c>
      <c r="AE95" s="1069"/>
      <c r="AF95" s="6947"/>
      <c r="AG95" s="6948"/>
      <c r="AH95" s="6948"/>
      <c r="AI95" s="6947"/>
      <c r="AJ95" s="6948"/>
      <c r="AK95" s="6948"/>
      <c r="AL95" s="1073"/>
      <c r="AM95" s="1730"/>
      <c r="AN95" s="1730"/>
      <c r="AO95" s="1730"/>
      <c r="AP95" s="1730"/>
      <c r="AQ95" s="1730"/>
      <c r="AR95" s="1730"/>
      <c r="AS95" s="1730"/>
      <c r="AT95" s="1730"/>
      <c r="AU95" s="1730"/>
      <c r="AV95" s="1730"/>
      <c r="AW95" s="1730"/>
      <c r="AX95" s="1730"/>
      <c r="AY95" s="1730"/>
      <c r="AZ95" s="1730"/>
      <c r="BA95" s="1730"/>
      <c r="BB95" s="1730"/>
      <c r="BC95" s="1730"/>
      <c r="BD95" s="1730"/>
      <c r="BE95" s="1730"/>
      <c r="BF95" s="1730"/>
    </row>
    <row r="96" spans="1:58" s="2045" customFormat="1" ht="11.25" customHeight="1">
      <c r="A96" s="1066"/>
      <c r="B96" s="1066"/>
      <c r="C96" s="1066"/>
      <c r="D96" s="1060"/>
      <c r="E96" s="1070"/>
      <c r="F96" s="1736"/>
      <c r="G96" s="1737"/>
      <c r="H96" s="6884"/>
      <c r="I96" s="6955"/>
      <c r="J96" s="6944"/>
      <c r="K96" s="6956"/>
      <c r="L96" s="6948"/>
      <c r="M96" s="6611"/>
      <c r="N96" s="6949"/>
      <c r="O96" s="6950"/>
      <c r="P96" s="6953"/>
      <c r="Q96" s="6865"/>
      <c r="R96" s="6865"/>
      <c r="S96" s="6954"/>
      <c r="T96" s="6865"/>
      <c r="U96" s="6865"/>
      <c r="V96" s="6865"/>
      <c r="W96" s="6865"/>
      <c r="X96" s="6865"/>
      <c r="Y96" s="6865"/>
      <c r="Z96" s="1076"/>
      <c r="AA96" s="1077"/>
      <c r="AB96" s="1150" t="s">
        <v>1274</v>
      </c>
      <c r="AC96" s="1081"/>
      <c r="AD96" s="1081"/>
      <c r="AE96" s="1083"/>
      <c r="AF96" s="6947"/>
      <c r="AG96" s="6948"/>
      <c r="AH96" s="6948"/>
      <c r="AI96" s="6947"/>
      <c r="AJ96" s="6948"/>
      <c r="AK96" s="6948"/>
      <c r="AL96" s="1073"/>
      <c r="AM96" s="1730"/>
      <c r="AN96" s="1730"/>
      <c r="AO96" s="1730"/>
      <c r="AP96" s="1730"/>
      <c r="AQ96" s="1730"/>
      <c r="AR96" s="1730"/>
      <c r="AS96" s="1730"/>
      <c r="AT96" s="1730"/>
      <c r="AU96" s="1730"/>
      <c r="AV96" s="1730"/>
      <c r="AW96" s="1730"/>
      <c r="AX96" s="1730"/>
      <c r="AY96" s="1730"/>
      <c r="AZ96" s="1730"/>
      <c r="BA96" s="1730"/>
      <c r="BB96" s="1730"/>
      <c r="BC96" s="1730"/>
      <c r="BD96" s="1730"/>
      <c r="BE96" s="1730"/>
      <c r="BF96" s="1730"/>
    </row>
    <row r="97" spans="1:184" s="2045" customFormat="1" ht="11.25" customHeight="1">
      <c r="A97" s="1066"/>
      <c r="B97" s="1066"/>
      <c r="C97" s="1066"/>
      <c r="D97" s="1060"/>
      <c r="E97" s="1070"/>
      <c r="F97" s="1736"/>
      <c r="G97" s="1737"/>
      <c r="H97" s="6884"/>
      <c r="I97" s="6955"/>
      <c r="J97" s="6944"/>
      <c r="K97" s="6956"/>
      <c r="L97" s="6948"/>
      <c r="M97" s="6611"/>
      <c r="N97" s="1077"/>
      <c r="O97" s="1077"/>
      <c r="P97" s="1068" t="s">
        <v>1275</v>
      </c>
      <c r="Q97" s="1077"/>
      <c r="R97" s="1077"/>
      <c r="S97" s="1077"/>
      <c r="T97" s="1077"/>
      <c r="U97" s="1077"/>
      <c r="V97" s="1077"/>
      <c r="W97" s="1077"/>
      <c r="X97" s="1077"/>
      <c r="Y97" s="1077"/>
      <c r="Z97" s="1077"/>
      <c r="AA97" s="1077"/>
      <c r="AB97" s="1077"/>
      <c r="AC97" s="1077"/>
      <c r="AD97" s="1077"/>
      <c r="AE97" s="1084"/>
      <c r="AF97" s="6947"/>
      <c r="AG97" s="6948"/>
      <c r="AH97" s="6948"/>
      <c r="AI97" s="6947"/>
      <c r="AJ97" s="6948"/>
      <c r="AK97" s="6948"/>
      <c r="AL97" s="1073"/>
      <c r="AM97" s="1730"/>
      <c r="AN97" s="1730"/>
      <c r="AO97" s="1730"/>
      <c r="AP97" s="1730"/>
      <c r="AQ97" s="1730"/>
      <c r="AR97" s="1730"/>
      <c r="AS97" s="1730"/>
      <c r="AT97" s="1730"/>
      <c r="AU97" s="1730"/>
      <c r="AV97" s="1730"/>
      <c r="AW97" s="1730"/>
      <c r="AX97" s="1730"/>
      <c r="AY97" s="1730"/>
      <c r="AZ97" s="1730"/>
      <c r="BA97" s="1730"/>
      <c r="BB97" s="1730"/>
      <c r="BC97" s="1730"/>
      <c r="BD97" s="1730"/>
      <c r="BE97" s="1730"/>
      <c r="BF97" s="1730"/>
    </row>
    <row r="99" spans="1:184" s="6553" customFormat="1" ht="11.25" customHeight="1">
      <c r="A99" s="1724" t="s">
        <v>1280</v>
      </c>
    </row>
    <row r="100" spans="1:184" ht="17.25" customHeight="1"/>
    <row r="101" spans="1:184" s="6520"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6520" customFormat="1" ht="24.75" customHeight="1">
      <c r="B102" s="835"/>
      <c r="C102" s="836"/>
      <c r="D102" s="836"/>
      <c r="E102" s="1742"/>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6520" customFormat="1" ht="12" customHeight="1">
      <c r="A103" s="836"/>
      <c r="B103" s="835"/>
      <c r="C103" s="836"/>
      <c r="D103" s="836"/>
      <c r="E103" s="836"/>
      <c r="F103" s="1116"/>
      <c r="G103" s="1709" t="s">
        <v>1281</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6553" customFormat="1" ht="11.25" customHeight="1">
      <c r="A105" s="1724" t="s">
        <v>1282</v>
      </c>
    </row>
    <row r="107" spans="1:184" s="1828" customFormat="1" ht="15" customHeight="1">
      <c r="A107" s="544"/>
      <c r="B107" s="545"/>
      <c r="C107" s="545"/>
      <c r="D107" s="6992" t="s">
        <v>178</v>
      </c>
      <c r="E107" s="6846" t="s">
        <v>174</v>
      </c>
      <c r="F107" s="6847"/>
      <c r="G107" s="6848"/>
      <c r="H107" s="6852" t="str">
        <f>IF(A107="","",INDEX(DIFFERENTIATION_UNMERGE_VD,MATCH(A107,DIFFERENTIATION_ID_DIFF,0)))</f>
        <v/>
      </c>
      <c r="I107" s="6852"/>
      <c r="J107" s="6852"/>
      <c r="K107" s="6852"/>
      <c r="L107" s="6852"/>
      <c r="M107" s="6852"/>
      <c r="N107" s="6852"/>
      <c r="O107" s="6852"/>
      <c r="P107" s="6852"/>
      <c r="Q107" s="6852"/>
      <c r="R107" s="6852"/>
      <c r="S107" s="638"/>
      <c r="T107" s="635"/>
      <c r="U107" s="546"/>
      <c r="V107" s="546"/>
      <c r="W107" s="547"/>
      <c r="X107" s="547"/>
      <c r="Y107" s="547"/>
      <c r="Z107" s="547"/>
      <c r="AA107" s="548"/>
      <c r="AB107" s="549"/>
      <c r="AC107" s="6844"/>
      <c r="AD107" s="550"/>
      <c r="AE107" s="551" t="s">
        <v>24</v>
      </c>
      <c r="AF107" s="551"/>
      <c r="AG107" s="552" t="s">
        <v>726</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28" customFormat="1" ht="15" customHeight="1">
      <c r="A108" s="544"/>
      <c r="B108" s="545"/>
      <c r="C108" s="545"/>
      <c r="D108" s="6993"/>
      <c r="E108" s="6846" t="s">
        <v>681</v>
      </c>
      <c r="F108" s="6847"/>
      <c r="G108" s="6848"/>
      <c r="H108" s="6852" t="str">
        <f>IF(A107="","",INDEX(DIFFERENTIATION_UNMERGE_AREA,MATCH(A107,DIFFERENTIATION_ID_DIFF,0)))</f>
        <v/>
      </c>
      <c r="I108" s="6852"/>
      <c r="J108" s="6852"/>
      <c r="K108" s="6852"/>
      <c r="L108" s="6852"/>
      <c r="M108" s="6852"/>
      <c r="N108" s="6852"/>
      <c r="O108" s="6852"/>
      <c r="P108" s="6852"/>
      <c r="Q108" s="6852"/>
      <c r="R108" s="6852"/>
      <c r="S108" s="638"/>
      <c r="T108" s="635"/>
      <c r="U108" s="546"/>
      <c r="V108" s="546"/>
      <c r="W108" s="547"/>
      <c r="X108" s="547"/>
      <c r="Y108" s="547"/>
      <c r="Z108" s="547"/>
      <c r="AA108" s="548"/>
      <c r="AB108" s="549"/>
      <c r="AC108" s="6844"/>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28" customFormat="1" ht="15" customHeight="1">
      <c r="A109" s="544"/>
      <c r="B109" s="545"/>
      <c r="C109" s="545"/>
      <c r="D109" s="6993"/>
      <c r="E109" s="6846" t="s">
        <v>682</v>
      </c>
      <c r="F109" s="6847"/>
      <c r="G109" s="6848"/>
      <c r="H109" s="6852" t="str">
        <f>IF(A107="","",INDEX(DIFFERENTIATION_UNMERGE_SYSTEM,MATCH(A107,DIFFERENTIATION_ID_DIFF,0)))</f>
        <v/>
      </c>
      <c r="I109" s="6852"/>
      <c r="J109" s="6852"/>
      <c r="K109" s="6852"/>
      <c r="L109" s="6852"/>
      <c r="M109" s="6852"/>
      <c r="N109" s="6852"/>
      <c r="O109" s="6852"/>
      <c r="P109" s="6852"/>
      <c r="Q109" s="6852"/>
      <c r="R109" s="6852"/>
      <c r="S109" s="638"/>
      <c r="T109" s="635"/>
      <c r="U109" s="546"/>
      <c r="V109" s="546"/>
      <c r="W109" s="547"/>
      <c r="X109" s="547"/>
      <c r="Y109" s="547"/>
      <c r="Z109" s="547"/>
      <c r="AA109" s="548"/>
      <c r="AB109" s="549"/>
      <c r="AC109" s="6844"/>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28" customFormat="1" ht="24.75" customHeight="1">
      <c r="A110" s="1715"/>
      <c r="B110" s="1060"/>
      <c r="C110" s="346"/>
      <c r="D110" s="6993"/>
      <c r="E110" s="6845" t="s">
        <v>727</v>
      </c>
      <c r="F110" s="6845"/>
      <c r="G110" s="6845"/>
      <c r="H110" s="6845"/>
      <c r="I110" s="6845"/>
      <c r="J110" s="6845"/>
      <c r="K110" s="6845"/>
      <c r="L110" s="6845"/>
      <c r="M110" s="6845"/>
      <c r="N110" s="6845"/>
      <c r="O110" s="6845"/>
      <c r="P110" s="6845"/>
      <c r="Q110" s="483">
        <f>SUMIF(T111:T112,"i",Q111:Q112)</f>
        <v>0</v>
      </c>
      <c r="R110" s="924"/>
      <c r="S110" s="1707" t="s">
        <v>728</v>
      </c>
      <c r="T110" s="636" t="s">
        <v>729</v>
      </c>
      <c r="U110" s="6762">
        <v>1</v>
      </c>
      <c r="V110" s="6762" t="s">
        <v>692</v>
      </c>
      <c r="W110" s="1060"/>
      <c r="X110" s="1060"/>
      <c r="Y110" s="1060"/>
      <c r="Z110" s="1060"/>
      <c r="AA110" s="1547"/>
      <c r="AB110" s="1060"/>
      <c r="AC110" s="6844"/>
      <c r="AD110" s="550"/>
      <c r="AE110" s="1060"/>
      <c r="AF110" s="1060"/>
      <c r="AG110" s="1547"/>
      <c r="AH110" s="1547"/>
      <c r="AI110" s="1547"/>
      <c r="AJ110" s="1547"/>
      <c r="AK110" s="1547"/>
      <c r="AL110" s="1547"/>
      <c r="AM110" s="1547"/>
      <c r="AN110" s="1547"/>
      <c r="AO110" s="1547"/>
      <c r="AP110" s="1547"/>
      <c r="AQ110" s="1547"/>
      <c r="AR110" s="1547"/>
      <c r="AS110" s="1547"/>
      <c r="AT110" s="1547"/>
      <c r="AU110" s="1547"/>
      <c r="AV110" s="1547"/>
      <c r="AW110" s="1547"/>
      <c r="AX110" s="1547"/>
      <c r="AY110" s="1547"/>
      <c r="AZ110" s="1547"/>
      <c r="BA110" s="1547"/>
      <c r="BB110" s="1547"/>
      <c r="BC110" s="1547"/>
      <c r="BD110" s="1547"/>
      <c r="BE110" s="1547"/>
      <c r="BF110" s="1547"/>
      <c r="BG110" s="1547"/>
      <c r="BH110" s="1547"/>
      <c r="BI110" s="1547"/>
      <c r="BJ110" s="1547"/>
      <c r="BK110" s="1547"/>
      <c r="BL110" s="1547"/>
      <c r="BM110" s="1547"/>
      <c r="BN110" s="1547"/>
      <c r="BO110" s="1547"/>
      <c r="BP110" s="1547"/>
      <c r="BQ110" s="1547"/>
      <c r="BR110" s="1547"/>
      <c r="BS110" s="1547"/>
      <c r="BT110" s="1547"/>
      <c r="BU110" s="1547"/>
      <c r="BV110" s="1060"/>
      <c r="BW110" s="1060"/>
      <c r="BX110" s="1060"/>
      <c r="BY110" s="1060"/>
      <c r="BZ110" s="1060"/>
      <c r="CA110" s="1060"/>
      <c r="CB110" s="1060"/>
      <c r="CC110" s="1060"/>
      <c r="CD110" s="1060"/>
      <c r="CE110" s="1060"/>
    </row>
    <row r="111" spans="1:184" s="1828" customFormat="1" ht="11.25" hidden="1" customHeight="1">
      <c r="A111" s="1702"/>
      <c r="B111" s="1547"/>
      <c r="C111" s="1547"/>
      <c r="D111" s="6993"/>
      <c r="E111" s="556"/>
      <c r="F111" s="556">
        <v>0</v>
      </c>
      <c r="G111" s="556"/>
      <c r="H111" s="556"/>
      <c r="I111" s="556"/>
      <c r="J111" s="556"/>
      <c r="K111" s="556"/>
      <c r="L111" s="556"/>
      <c r="M111" s="556"/>
      <c r="N111" s="556"/>
      <c r="O111" s="556"/>
      <c r="P111" s="556"/>
      <c r="Q111" s="556"/>
      <c r="R111" s="556"/>
      <c r="S111" s="557"/>
      <c r="T111" s="637"/>
      <c r="U111" s="6762"/>
      <c r="V111" s="6762"/>
      <c r="W111" s="1547"/>
      <c r="X111" s="1547"/>
      <c r="Y111" s="1547"/>
      <c r="Z111" s="1547"/>
      <c r="AA111" s="1547"/>
      <c r="AB111" s="1060"/>
      <c r="AC111" s="6844"/>
      <c r="AD111" s="550"/>
      <c r="AE111" s="1060"/>
      <c r="AF111" s="1060"/>
      <c r="AG111" s="1547"/>
      <c r="AH111" s="1547"/>
      <c r="AI111" s="1547"/>
      <c r="AJ111" s="1547"/>
      <c r="AK111" s="1547"/>
      <c r="AL111" s="1547"/>
      <c r="AM111" s="1547"/>
      <c r="AN111" s="1547"/>
      <c r="AO111" s="1547"/>
      <c r="AP111" s="1547"/>
      <c r="AQ111" s="1547"/>
      <c r="AR111" s="1547"/>
      <c r="AS111" s="1547"/>
      <c r="AT111" s="1547"/>
      <c r="AU111" s="1547"/>
      <c r="AV111" s="1547"/>
      <c r="AW111" s="1547"/>
      <c r="AX111" s="1547"/>
      <c r="AY111" s="1547"/>
      <c r="AZ111" s="1547"/>
      <c r="BA111" s="1547"/>
      <c r="BB111" s="1547"/>
      <c r="BC111" s="1547"/>
      <c r="BD111" s="1547"/>
      <c r="BE111" s="1547"/>
      <c r="BF111" s="1547"/>
      <c r="BG111" s="1547"/>
      <c r="BH111" s="1547"/>
      <c r="BI111" s="1547"/>
      <c r="BJ111" s="1547"/>
      <c r="BK111" s="1547"/>
      <c r="BL111" s="1547"/>
      <c r="BM111" s="1547"/>
      <c r="BN111" s="1547"/>
      <c r="BO111" s="1547"/>
      <c r="BP111" s="1547"/>
      <c r="BQ111" s="1547"/>
      <c r="BR111" s="1547"/>
      <c r="BS111" s="1547"/>
      <c r="BT111" s="1547"/>
      <c r="BU111" s="1547"/>
      <c r="BV111" s="1547"/>
      <c r="BW111" s="1547"/>
      <c r="BX111" s="1547"/>
      <c r="BY111" s="1547"/>
      <c r="BZ111" s="1547"/>
      <c r="CA111" s="1547"/>
      <c r="CB111" s="1547"/>
      <c r="CC111" s="1547"/>
      <c r="CD111" s="1547"/>
      <c r="CE111" s="1547"/>
    </row>
    <row r="112" spans="1:184" s="1828" customFormat="1" ht="11.25" customHeight="1">
      <c r="A112" s="1715"/>
      <c r="B112" s="1060"/>
      <c r="C112" s="346"/>
      <c r="D112" s="6993"/>
      <c r="E112" s="570" t="s">
        <v>24</v>
      </c>
      <c r="F112" s="1068" t="s">
        <v>24</v>
      </c>
      <c r="G112" s="1068" t="s">
        <v>1283</v>
      </c>
      <c r="H112" s="572" t="s">
        <v>24</v>
      </c>
      <c r="I112" s="572"/>
      <c r="J112" s="572"/>
      <c r="K112" s="572"/>
      <c r="L112" s="572"/>
      <c r="M112" s="572"/>
      <c r="N112" s="572"/>
      <c r="O112" s="572"/>
      <c r="P112" s="572"/>
      <c r="Q112" s="572"/>
      <c r="R112" s="573"/>
      <c r="S112" s="574"/>
      <c r="T112" s="637"/>
      <c r="U112" s="6762"/>
      <c r="V112" s="6762"/>
      <c r="W112" s="1060"/>
      <c r="X112" s="1060"/>
      <c r="Y112" s="1060"/>
      <c r="Z112" s="1060"/>
      <c r="AA112" s="1547"/>
      <c r="AB112" s="1060"/>
      <c r="AC112" s="6844"/>
      <c r="AD112" s="550"/>
      <c r="AE112" s="1060"/>
      <c r="AF112" s="1060"/>
      <c r="AG112" s="1547"/>
      <c r="AH112" s="1547"/>
      <c r="AI112" s="1547"/>
      <c r="AJ112" s="1547"/>
      <c r="AK112" s="1547"/>
      <c r="AL112" s="1547"/>
      <c r="AM112" s="1547"/>
      <c r="AN112" s="1547"/>
      <c r="AO112" s="1547"/>
      <c r="AP112" s="1547"/>
      <c r="AQ112" s="1547"/>
      <c r="AR112" s="1547"/>
      <c r="AS112" s="1547"/>
      <c r="AT112" s="1547"/>
      <c r="AU112" s="1547"/>
      <c r="AV112" s="1547"/>
      <c r="AW112" s="1547"/>
      <c r="AX112" s="1547"/>
      <c r="AY112" s="1547"/>
      <c r="AZ112" s="1547"/>
      <c r="BA112" s="1547"/>
      <c r="BB112" s="1547"/>
      <c r="BC112" s="1547"/>
      <c r="BD112" s="1547"/>
      <c r="BE112" s="1547"/>
      <c r="BF112" s="1547"/>
      <c r="BG112" s="1547"/>
      <c r="BH112" s="1547"/>
      <c r="BI112" s="1547"/>
      <c r="BJ112" s="1547"/>
      <c r="BK112" s="1547"/>
      <c r="BL112" s="1547"/>
      <c r="BM112" s="1547"/>
      <c r="BN112" s="1547"/>
      <c r="BO112" s="1547"/>
      <c r="BP112" s="1547"/>
      <c r="BQ112" s="1547"/>
      <c r="BR112" s="1547"/>
      <c r="BS112" s="1547"/>
      <c r="BT112" s="1547"/>
      <c r="BU112" s="1547"/>
      <c r="BV112" s="1060"/>
      <c r="BW112" s="1060"/>
      <c r="BX112" s="1060"/>
      <c r="BY112" s="1060"/>
      <c r="BZ112" s="1060"/>
      <c r="CA112" s="1060"/>
      <c r="CB112" s="1060"/>
      <c r="CC112" s="1060"/>
      <c r="CD112" s="1060"/>
      <c r="CE112" s="1060"/>
    </row>
    <row r="113" spans="1:83" s="1828" customFormat="1" ht="24.75" customHeight="1">
      <c r="A113" s="1715"/>
      <c r="B113" s="1060"/>
      <c r="C113" s="346"/>
      <c r="D113" s="6993"/>
      <c r="E113" s="6845" t="s">
        <v>730</v>
      </c>
      <c r="F113" s="6845"/>
      <c r="G113" s="6845"/>
      <c r="H113" s="6845"/>
      <c r="I113" s="6845"/>
      <c r="J113" s="6845"/>
      <c r="K113" s="6845"/>
      <c r="L113" s="6845"/>
      <c r="M113" s="6845"/>
      <c r="N113" s="6845"/>
      <c r="O113" s="6845"/>
      <c r="P113" s="6845"/>
      <c r="Q113" s="483">
        <f>SUMIF(T114:T115,"i",Q114:Q115)</f>
        <v>0</v>
      </c>
      <c r="R113" s="924"/>
      <c r="S113" s="1707" t="s">
        <v>731</v>
      </c>
      <c r="T113" s="636" t="s">
        <v>729</v>
      </c>
      <c r="U113" s="6762">
        <v>1</v>
      </c>
      <c r="V113" s="6762" t="s">
        <v>692</v>
      </c>
      <c r="W113" s="1060"/>
      <c r="X113" s="1060"/>
      <c r="Y113" s="1060"/>
      <c r="Z113" s="1060"/>
      <c r="AA113" s="1547"/>
      <c r="AB113" s="1060"/>
      <c r="AC113" s="1705"/>
      <c r="AD113" s="550"/>
      <c r="AE113" s="1060"/>
      <c r="AF113" s="1060"/>
      <c r="AG113" s="1547"/>
      <c r="AH113" s="1547"/>
      <c r="AI113" s="1547"/>
      <c r="AJ113" s="1547"/>
      <c r="AK113" s="1547"/>
      <c r="AL113" s="1547"/>
      <c r="AM113" s="1547"/>
      <c r="AN113" s="1547"/>
      <c r="AO113" s="1547"/>
      <c r="AP113" s="1547"/>
      <c r="AQ113" s="1547"/>
      <c r="AR113" s="1547"/>
      <c r="AS113" s="1547"/>
      <c r="AT113" s="1547"/>
      <c r="AU113" s="1547"/>
      <c r="AV113" s="1547"/>
      <c r="AW113" s="1547"/>
      <c r="AX113" s="1547"/>
      <c r="AY113" s="1547"/>
      <c r="AZ113" s="1547"/>
      <c r="BA113" s="1547"/>
      <c r="BB113" s="1547"/>
      <c r="BC113" s="1547"/>
      <c r="BD113" s="1547"/>
      <c r="BE113" s="1547"/>
      <c r="BF113" s="1547"/>
      <c r="BG113" s="1547"/>
      <c r="BH113" s="1547"/>
      <c r="BI113" s="1547"/>
      <c r="BJ113" s="1547"/>
      <c r="BK113" s="1547"/>
      <c r="BL113" s="1547"/>
      <c r="BM113" s="1547"/>
      <c r="BN113" s="1547"/>
      <c r="BO113" s="1547"/>
      <c r="BP113" s="1547"/>
      <c r="BQ113" s="1547"/>
      <c r="BR113" s="1547"/>
      <c r="BS113" s="1547"/>
      <c r="BT113" s="1547"/>
      <c r="BU113" s="1547"/>
      <c r="BV113" s="1060"/>
      <c r="BW113" s="1060"/>
      <c r="BX113" s="1060"/>
      <c r="BY113" s="1060"/>
      <c r="BZ113" s="1060"/>
      <c r="CA113" s="1060"/>
      <c r="CB113" s="1060"/>
      <c r="CC113" s="1060"/>
      <c r="CD113" s="1060"/>
      <c r="CE113" s="1060"/>
    </row>
    <row r="114" spans="1:83" s="1828" customFormat="1" ht="11.25" hidden="1" customHeight="1">
      <c r="A114" s="1702"/>
      <c r="B114" s="1547"/>
      <c r="C114" s="1547"/>
      <c r="D114" s="6993"/>
      <c r="E114" s="556"/>
      <c r="F114" s="556">
        <v>0</v>
      </c>
      <c r="G114" s="556"/>
      <c r="H114" s="556"/>
      <c r="I114" s="556"/>
      <c r="J114" s="556"/>
      <c r="K114" s="556"/>
      <c r="L114" s="556"/>
      <c r="M114" s="556"/>
      <c r="N114" s="556"/>
      <c r="O114" s="556"/>
      <c r="P114" s="556"/>
      <c r="Q114" s="556"/>
      <c r="R114" s="556"/>
      <c r="S114" s="557"/>
      <c r="T114" s="637"/>
      <c r="U114" s="6762"/>
      <c r="V114" s="6762"/>
      <c r="W114" s="1547"/>
      <c r="X114" s="1547"/>
      <c r="Y114" s="1547"/>
      <c r="Z114" s="1547"/>
      <c r="AA114" s="1547"/>
      <c r="AB114" s="1060"/>
      <c r="AC114" s="1705"/>
      <c r="AD114" s="550"/>
      <c r="AE114" s="1060"/>
      <c r="AF114" s="1060"/>
      <c r="AG114" s="1547"/>
      <c r="AH114" s="1547"/>
      <c r="AI114" s="1547"/>
      <c r="AJ114" s="1547"/>
      <c r="AK114" s="1547"/>
      <c r="AL114" s="1547"/>
      <c r="AM114" s="1547"/>
      <c r="AN114" s="1547"/>
      <c r="AO114" s="1547"/>
      <c r="AP114" s="1547"/>
      <c r="AQ114" s="1547"/>
      <c r="AR114" s="1547"/>
      <c r="AS114" s="1547"/>
      <c r="AT114" s="1547"/>
      <c r="AU114" s="1547"/>
      <c r="AV114" s="1547"/>
      <c r="AW114" s="1547"/>
      <c r="AX114" s="1547"/>
      <c r="AY114" s="1547"/>
      <c r="AZ114" s="1547"/>
      <c r="BA114" s="1547"/>
      <c r="BB114" s="1547"/>
      <c r="BC114" s="1547"/>
      <c r="BD114" s="1547"/>
      <c r="BE114" s="1547"/>
      <c r="BF114" s="1547"/>
      <c r="BG114" s="1547"/>
      <c r="BH114" s="1547"/>
      <c r="BI114" s="1547"/>
      <c r="BJ114" s="1547"/>
      <c r="BK114" s="1547"/>
      <c r="BL114" s="1547"/>
      <c r="BM114" s="1547"/>
      <c r="BN114" s="1547"/>
      <c r="BO114" s="1547"/>
      <c r="BP114" s="1547"/>
      <c r="BQ114" s="1547"/>
      <c r="BR114" s="1547"/>
      <c r="BS114" s="1547"/>
      <c r="BT114" s="1547"/>
      <c r="BU114" s="1547"/>
      <c r="BV114" s="1547"/>
      <c r="BW114" s="1547"/>
      <c r="BX114" s="1547"/>
      <c r="BY114" s="1547"/>
      <c r="BZ114" s="1547"/>
      <c r="CA114" s="1547"/>
      <c r="CB114" s="1547"/>
      <c r="CC114" s="1547"/>
      <c r="CD114" s="1547"/>
      <c r="CE114" s="1547"/>
    </row>
    <row r="115" spans="1:83" s="1828" customFormat="1" ht="11.25" customHeight="1">
      <c r="A115" s="1715"/>
      <c r="B115" s="1060"/>
      <c r="C115" s="346"/>
      <c r="D115" s="6994"/>
      <c r="E115" s="570" t="s">
        <v>24</v>
      </c>
      <c r="F115" s="1068" t="s">
        <v>24</v>
      </c>
      <c r="G115" s="1068" t="s">
        <v>1283</v>
      </c>
      <c r="H115" s="572" t="s">
        <v>24</v>
      </c>
      <c r="I115" s="572"/>
      <c r="J115" s="572"/>
      <c r="K115" s="572"/>
      <c r="L115" s="572"/>
      <c r="M115" s="572"/>
      <c r="N115" s="572"/>
      <c r="O115" s="572"/>
      <c r="P115" s="572"/>
      <c r="Q115" s="572"/>
      <c r="R115" s="573"/>
      <c r="S115" s="574"/>
      <c r="T115" s="637"/>
      <c r="U115" s="6762"/>
      <c r="V115" s="6762"/>
      <c r="W115" s="1060"/>
      <c r="X115" s="1060"/>
      <c r="Y115" s="1060"/>
      <c r="Z115" s="1060"/>
      <c r="AA115" s="1547"/>
      <c r="AB115" s="1060"/>
      <c r="AC115" s="1705"/>
      <c r="AD115" s="550"/>
      <c r="AE115" s="1060"/>
      <c r="AF115" s="1060"/>
      <c r="AG115" s="1547"/>
      <c r="AH115" s="1547"/>
      <c r="AI115" s="1547"/>
      <c r="AJ115" s="1547"/>
      <c r="AK115" s="1547"/>
      <c r="AL115" s="1547"/>
      <c r="AM115" s="1547"/>
      <c r="AN115" s="1547"/>
      <c r="AO115" s="1547"/>
      <c r="AP115" s="1547"/>
      <c r="AQ115" s="1547"/>
      <c r="AR115" s="1547"/>
      <c r="AS115" s="1547"/>
      <c r="AT115" s="1547"/>
      <c r="AU115" s="1547"/>
      <c r="AV115" s="1547"/>
      <c r="AW115" s="1547"/>
      <c r="AX115" s="1547"/>
      <c r="AY115" s="1547"/>
      <c r="AZ115" s="1547"/>
      <c r="BA115" s="1547"/>
      <c r="BB115" s="1547"/>
      <c r="BC115" s="1547"/>
      <c r="BD115" s="1547"/>
      <c r="BE115" s="1547"/>
      <c r="BF115" s="1547"/>
      <c r="BG115" s="1547"/>
      <c r="BH115" s="1547"/>
      <c r="BI115" s="1547"/>
      <c r="BJ115" s="1547"/>
      <c r="BK115" s="1547"/>
      <c r="BL115" s="1547"/>
      <c r="BM115" s="1547"/>
      <c r="BN115" s="1547"/>
      <c r="BO115" s="1547"/>
      <c r="BP115" s="1547"/>
      <c r="BQ115" s="1547"/>
      <c r="BR115" s="1547"/>
      <c r="BS115" s="1547"/>
      <c r="BT115" s="1547"/>
      <c r="BU115" s="1547"/>
      <c r="BV115" s="1060"/>
      <c r="BW115" s="1060"/>
      <c r="BX115" s="1060"/>
      <c r="BY115" s="1060"/>
      <c r="BZ115" s="1060"/>
      <c r="CA115" s="1060"/>
      <c r="CB115" s="1060"/>
      <c r="CC115" s="1060"/>
      <c r="CD115" s="1060"/>
      <c r="CE115" s="1060"/>
    </row>
    <row r="117" spans="1:83" s="6553" customFormat="1" ht="11.25" customHeight="1">
      <c r="A117" s="1724" t="s">
        <v>1284</v>
      </c>
    </row>
    <row r="119" spans="1:83" s="1828" customFormat="1" ht="15" customHeight="1">
      <c r="A119" s="544"/>
      <c r="B119" s="545"/>
      <c r="C119" s="545"/>
      <c r="D119" s="6992" t="s">
        <v>178</v>
      </c>
      <c r="E119" s="6846" t="s">
        <v>174</v>
      </c>
      <c r="F119" s="6847"/>
      <c r="G119" s="6848"/>
      <c r="H119" s="6852" t="str">
        <f>IF(A119="","",INDEX(DIFFERENTIATION_UNMERGE_VD,MATCH(A119,DIFFERENTIATION_ID_DIFF,0)))</f>
        <v/>
      </c>
      <c r="I119" s="6852"/>
      <c r="J119" s="6852"/>
      <c r="K119" s="6852"/>
      <c r="L119" s="6852"/>
      <c r="M119" s="6852"/>
      <c r="N119" s="6852"/>
      <c r="O119" s="6852"/>
      <c r="P119" s="6852"/>
      <c r="Q119" s="6852"/>
      <c r="R119" s="6852"/>
      <c r="S119" s="638"/>
      <c r="T119" s="635"/>
      <c r="U119" s="546"/>
      <c r="V119" s="546"/>
      <c r="W119" s="547"/>
      <c r="X119" s="547"/>
      <c r="Y119" s="547"/>
      <c r="Z119" s="547"/>
      <c r="AA119" s="548"/>
      <c r="AB119" s="549"/>
      <c r="AC119" s="6844"/>
      <c r="AD119" s="550"/>
      <c r="AE119" s="551" t="s">
        <v>24</v>
      </c>
      <c r="AF119" s="551"/>
      <c r="AG119" s="552" t="s">
        <v>726</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28" customFormat="1" ht="15" customHeight="1">
      <c r="A120" s="544"/>
      <c r="B120" s="545"/>
      <c r="C120" s="545"/>
      <c r="D120" s="6993"/>
      <c r="E120" s="6846" t="s">
        <v>681</v>
      </c>
      <c r="F120" s="6847"/>
      <c r="G120" s="6848"/>
      <c r="H120" s="6852" t="str">
        <f>IF(A119="","",INDEX(DIFFERENTIATION_UNMERGE_AREA,MATCH(A119,DIFFERENTIATION_ID_DIFF,0)))</f>
        <v/>
      </c>
      <c r="I120" s="6852"/>
      <c r="J120" s="6852"/>
      <c r="K120" s="6852"/>
      <c r="L120" s="6852"/>
      <c r="M120" s="6852"/>
      <c r="N120" s="6852"/>
      <c r="O120" s="6852"/>
      <c r="P120" s="6852"/>
      <c r="Q120" s="6852"/>
      <c r="R120" s="6852"/>
      <c r="S120" s="638"/>
      <c r="T120" s="635"/>
      <c r="U120" s="546"/>
      <c r="V120" s="546"/>
      <c r="W120" s="547"/>
      <c r="X120" s="547"/>
      <c r="Y120" s="547"/>
      <c r="Z120" s="547"/>
      <c r="AA120" s="548"/>
      <c r="AB120" s="549"/>
      <c r="AC120" s="6844"/>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28" customFormat="1" ht="15" customHeight="1">
      <c r="A121" s="544"/>
      <c r="B121" s="545"/>
      <c r="C121" s="545"/>
      <c r="D121" s="6993"/>
      <c r="E121" s="6846" t="s">
        <v>682</v>
      </c>
      <c r="F121" s="6847"/>
      <c r="G121" s="6848"/>
      <c r="H121" s="6852" t="str">
        <f>IF(A119="","",INDEX(DIFFERENTIATION_UNMERGE_SYSTEM,MATCH(A119,DIFFERENTIATION_ID_DIFF,0)))</f>
        <v/>
      </c>
      <c r="I121" s="6852"/>
      <c r="J121" s="6852"/>
      <c r="K121" s="6852"/>
      <c r="L121" s="6852"/>
      <c r="M121" s="6852"/>
      <c r="N121" s="6852"/>
      <c r="O121" s="6852"/>
      <c r="P121" s="6852"/>
      <c r="Q121" s="6852"/>
      <c r="R121" s="6852"/>
      <c r="S121" s="638"/>
      <c r="T121" s="635"/>
      <c r="U121" s="546"/>
      <c r="V121" s="546"/>
      <c r="W121" s="547"/>
      <c r="X121" s="547"/>
      <c r="Y121" s="547"/>
      <c r="Z121" s="547"/>
      <c r="AA121" s="548"/>
      <c r="AB121" s="549"/>
      <c r="AC121" s="6844"/>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28" customFormat="1" ht="24.75" customHeight="1">
      <c r="A122" s="1715"/>
      <c r="B122" s="1060"/>
      <c r="C122" s="346"/>
      <c r="D122" s="6993"/>
      <c r="E122" s="6845" t="s">
        <v>727</v>
      </c>
      <c r="F122" s="6845"/>
      <c r="G122" s="6845"/>
      <c r="H122" s="6845"/>
      <c r="I122" s="6845"/>
      <c r="J122" s="6845"/>
      <c r="K122" s="6845"/>
      <c r="L122" s="6845"/>
      <c r="M122" s="6845"/>
      <c r="N122" s="6845"/>
      <c r="O122" s="6845"/>
      <c r="P122" s="6845"/>
      <c r="Q122" s="483">
        <f>SUMIF(T123:T124,"i",Q123:Q124)</f>
        <v>0</v>
      </c>
      <c r="R122" s="924"/>
      <c r="S122" s="1707" t="s">
        <v>728</v>
      </c>
      <c r="T122" s="636" t="s">
        <v>729</v>
      </c>
      <c r="U122" s="6762">
        <v>1</v>
      </c>
      <c r="V122" s="6762" t="s">
        <v>692</v>
      </c>
      <c r="W122" s="1060"/>
      <c r="X122" s="1060"/>
      <c r="Y122" s="1060"/>
      <c r="Z122" s="1060"/>
      <c r="AA122" s="1547"/>
      <c r="AB122" s="1060"/>
      <c r="AC122" s="6844"/>
      <c r="AD122" s="550"/>
      <c r="AE122" s="1060"/>
      <c r="AF122" s="1060"/>
      <c r="AG122" s="1547"/>
      <c r="AH122" s="1547"/>
      <c r="AI122" s="1547"/>
      <c r="AJ122" s="1547"/>
      <c r="AK122" s="1547"/>
      <c r="AL122" s="1547"/>
      <c r="AM122" s="1547"/>
      <c r="AN122" s="1547"/>
      <c r="AO122" s="1547"/>
      <c r="AP122" s="1547"/>
      <c r="AQ122" s="1547"/>
      <c r="AR122" s="1547"/>
      <c r="AS122" s="1547"/>
      <c r="AT122" s="1547"/>
      <c r="AU122" s="1547"/>
      <c r="AV122" s="1547"/>
      <c r="AW122" s="1547"/>
      <c r="AX122" s="1547"/>
      <c r="AY122" s="1547"/>
      <c r="AZ122" s="1547"/>
      <c r="BA122" s="1547"/>
      <c r="BB122" s="1547"/>
      <c r="BC122" s="1547"/>
      <c r="BD122" s="1547"/>
      <c r="BE122" s="1547"/>
      <c r="BF122" s="1547"/>
      <c r="BG122" s="1547"/>
      <c r="BH122" s="1547"/>
      <c r="BI122" s="1547"/>
      <c r="BJ122" s="1547"/>
      <c r="BK122" s="1547"/>
      <c r="BL122" s="1547"/>
      <c r="BM122" s="1547"/>
      <c r="BN122" s="1547"/>
      <c r="BO122" s="1547"/>
      <c r="BP122" s="1547"/>
      <c r="BQ122" s="1547"/>
      <c r="BR122" s="1547"/>
      <c r="BS122" s="1547"/>
      <c r="BT122" s="1547"/>
      <c r="BU122" s="1547"/>
      <c r="BV122" s="1060"/>
      <c r="BW122" s="1060"/>
      <c r="BX122" s="1060"/>
      <c r="BY122" s="1060"/>
      <c r="BZ122" s="1060"/>
      <c r="CA122" s="1060"/>
      <c r="CB122" s="1060"/>
      <c r="CC122" s="1060"/>
      <c r="CD122" s="1060"/>
      <c r="CE122" s="1060"/>
    </row>
    <row r="123" spans="1:83" s="1828" customFormat="1" ht="11.25" hidden="1" customHeight="1">
      <c r="A123" s="1702"/>
      <c r="B123" s="1547"/>
      <c r="C123" s="1547"/>
      <c r="D123" s="6993"/>
      <c r="E123" s="556"/>
      <c r="F123" s="556">
        <v>0</v>
      </c>
      <c r="G123" s="556"/>
      <c r="H123" s="556"/>
      <c r="I123" s="556"/>
      <c r="J123" s="556"/>
      <c r="K123" s="556"/>
      <c r="L123" s="556"/>
      <c r="M123" s="556"/>
      <c r="N123" s="556"/>
      <c r="O123" s="556"/>
      <c r="P123" s="556"/>
      <c r="Q123" s="556"/>
      <c r="R123" s="556"/>
      <c r="S123" s="557"/>
      <c r="T123" s="637"/>
      <c r="U123" s="6762"/>
      <c r="V123" s="6762"/>
      <c r="W123" s="1547"/>
      <c r="X123" s="1547"/>
      <c r="Y123" s="1547"/>
      <c r="Z123" s="1547"/>
      <c r="AA123" s="1547"/>
      <c r="AB123" s="1060"/>
      <c r="AC123" s="6844"/>
      <c r="AD123" s="550"/>
      <c r="AE123" s="1060"/>
      <c r="AF123" s="1060"/>
      <c r="AG123" s="1547"/>
      <c r="AH123" s="1547"/>
      <c r="AI123" s="1547"/>
      <c r="AJ123" s="1547"/>
      <c r="AK123" s="1547"/>
      <c r="AL123" s="1547"/>
      <c r="AM123" s="1547"/>
      <c r="AN123" s="1547"/>
      <c r="AO123" s="1547"/>
      <c r="AP123" s="1547"/>
      <c r="AQ123" s="1547"/>
      <c r="AR123" s="1547"/>
      <c r="AS123" s="1547"/>
      <c r="AT123" s="1547"/>
      <c r="AU123" s="1547"/>
      <c r="AV123" s="1547"/>
      <c r="AW123" s="1547"/>
      <c r="AX123" s="1547"/>
      <c r="AY123" s="1547"/>
      <c r="AZ123" s="1547"/>
      <c r="BA123" s="1547"/>
      <c r="BB123" s="1547"/>
      <c r="BC123" s="1547"/>
      <c r="BD123" s="1547"/>
      <c r="BE123" s="1547"/>
      <c r="BF123" s="1547"/>
      <c r="BG123" s="1547"/>
      <c r="BH123" s="1547"/>
      <c r="BI123" s="1547"/>
      <c r="BJ123" s="1547"/>
      <c r="BK123" s="1547"/>
      <c r="BL123" s="1547"/>
      <c r="BM123" s="1547"/>
      <c r="BN123" s="1547"/>
      <c r="BO123" s="1547"/>
      <c r="BP123" s="1547"/>
      <c r="BQ123" s="1547"/>
      <c r="BR123" s="1547"/>
      <c r="BS123" s="1547"/>
      <c r="BT123" s="1547"/>
      <c r="BU123" s="1547"/>
      <c r="BV123" s="1547"/>
      <c r="BW123" s="1547"/>
      <c r="BX123" s="1547"/>
      <c r="BY123" s="1547"/>
      <c r="BZ123" s="1547"/>
      <c r="CA123" s="1547"/>
      <c r="CB123" s="1547"/>
      <c r="CC123" s="1547"/>
      <c r="CD123" s="1547"/>
      <c r="CE123" s="1547"/>
    </row>
    <row r="124" spans="1:83" s="1828" customFormat="1" ht="11.25" customHeight="1">
      <c r="A124" s="1715"/>
      <c r="B124" s="1060"/>
      <c r="C124" s="346"/>
      <c r="D124" s="6993"/>
      <c r="E124" s="570" t="s">
        <v>24</v>
      </c>
      <c r="F124" s="1068" t="s">
        <v>24</v>
      </c>
      <c r="G124" s="1068" t="s">
        <v>1283</v>
      </c>
      <c r="H124" s="572" t="s">
        <v>24</v>
      </c>
      <c r="I124" s="572"/>
      <c r="J124" s="572"/>
      <c r="K124" s="572"/>
      <c r="L124" s="572"/>
      <c r="M124" s="572"/>
      <c r="N124" s="572"/>
      <c r="O124" s="572"/>
      <c r="P124" s="572"/>
      <c r="Q124" s="572"/>
      <c r="R124" s="573"/>
      <c r="S124" s="574"/>
      <c r="T124" s="637"/>
      <c r="U124" s="6762"/>
      <c r="V124" s="6762"/>
      <c r="W124" s="1060"/>
      <c r="X124" s="1060"/>
      <c r="Y124" s="1060"/>
      <c r="Z124" s="1060"/>
      <c r="AA124" s="1547"/>
      <c r="AB124" s="1060"/>
      <c r="AC124" s="6844"/>
      <c r="AD124" s="550"/>
      <c r="AE124" s="1060"/>
      <c r="AF124" s="1060"/>
      <c r="AG124" s="1547"/>
      <c r="AH124" s="1547"/>
      <c r="AI124" s="1547"/>
      <c r="AJ124" s="1547"/>
      <c r="AK124" s="1547"/>
      <c r="AL124" s="1547"/>
      <c r="AM124" s="1547"/>
      <c r="AN124" s="1547"/>
      <c r="AO124" s="1547"/>
      <c r="AP124" s="1547"/>
      <c r="AQ124" s="1547"/>
      <c r="AR124" s="1547"/>
      <c r="AS124" s="1547"/>
      <c r="AT124" s="1547"/>
      <c r="AU124" s="1547"/>
      <c r="AV124" s="1547"/>
      <c r="AW124" s="1547"/>
      <c r="AX124" s="1547"/>
      <c r="AY124" s="1547"/>
      <c r="AZ124" s="1547"/>
      <c r="BA124" s="1547"/>
      <c r="BB124" s="1547"/>
      <c r="BC124" s="1547"/>
      <c r="BD124" s="1547"/>
      <c r="BE124" s="1547"/>
      <c r="BF124" s="1547"/>
      <c r="BG124" s="1547"/>
      <c r="BH124" s="1547"/>
      <c r="BI124" s="1547"/>
      <c r="BJ124" s="1547"/>
      <c r="BK124" s="1547"/>
      <c r="BL124" s="1547"/>
      <c r="BM124" s="1547"/>
      <c r="BN124" s="1547"/>
      <c r="BO124" s="1547"/>
      <c r="BP124" s="1547"/>
      <c r="BQ124" s="1547"/>
      <c r="BR124" s="1547"/>
      <c r="BS124" s="1547"/>
      <c r="BT124" s="1547"/>
      <c r="BU124" s="1547"/>
      <c r="BV124" s="1060"/>
      <c r="BW124" s="1060"/>
      <c r="BX124" s="1060"/>
      <c r="BY124" s="1060"/>
      <c r="BZ124" s="1060"/>
      <c r="CA124" s="1060"/>
      <c r="CB124" s="1060"/>
      <c r="CC124" s="1060"/>
      <c r="CD124" s="1060"/>
      <c r="CE124" s="1060"/>
    </row>
    <row r="125" spans="1:83" s="1829" customFormat="1" ht="5.25" hidden="1" customHeight="1">
      <c r="A125" s="1702"/>
      <c r="B125" s="1547"/>
      <c r="C125" s="1547"/>
      <c r="D125" s="6993"/>
      <c r="E125" s="946"/>
      <c r="F125" s="946"/>
      <c r="G125" s="946"/>
      <c r="H125" s="946"/>
      <c r="I125" s="946"/>
      <c r="J125" s="946"/>
      <c r="K125" s="946"/>
      <c r="L125" s="946"/>
      <c r="M125" s="946"/>
      <c r="N125" s="946"/>
      <c r="O125" s="946"/>
      <c r="P125" s="946"/>
      <c r="Q125" s="947"/>
      <c r="R125" s="948"/>
      <c r="S125" s="949"/>
      <c r="T125" s="636" t="s">
        <v>729</v>
      </c>
      <c r="U125" s="6762">
        <v>1</v>
      </c>
      <c r="V125" s="6762" t="s">
        <v>692</v>
      </c>
      <c r="W125" s="1547"/>
      <c r="X125" s="1547"/>
      <c r="Y125" s="1547"/>
      <c r="Z125" s="1547"/>
      <c r="AA125" s="1547"/>
      <c r="AB125" s="1547"/>
      <c r="AC125" s="944"/>
      <c r="AD125" s="945"/>
      <c r="AE125" s="1547"/>
      <c r="AF125" s="1547"/>
      <c r="AG125" s="1547"/>
      <c r="AH125" s="1547"/>
      <c r="AI125" s="1547"/>
      <c r="AJ125" s="1547"/>
      <c r="AK125" s="1547"/>
      <c r="AL125" s="1547"/>
      <c r="AM125" s="1547"/>
      <c r="AN125" s="1547"/>
      <c r="AO125" s="1547"/>
      <c r="AP125" s="1547"/>
      <c r="AQ125" s="1547"/>
      <c r="AR125" s="1547"/>
      <c r="AS125" s="1547"/>
      <c r="AT125" s="1547"/>
      <c r="AU125" s="1547"/>
      <c r="AV125" s="1547"/>
      <c r="AW125" s="1547"/>
      <c r="AX125" s="1547"/>
      <c r="AY125" s="1547"/>
      <c r="AZ125" s="1547"/>
      <c r="BA125" s="1547"/>
      <c r="BB125" s="1547"/>
      <c r="BC125" s="1547"/>
      <c r="BD125" s="1547"/>
      <c r="BE125" s="1547"/>
      <c r="BF125" s="1547"/>
      <c r="BG125" s="1547"/>
      <c r="BH125" s="1547"/>
      <c r="BI125" s="1547"/>
      <c r="BJ125" s="1547"/>
      <c r="BK125" s="1547"/>
      <c r="BL125" s="1547"/>
      <c r="BM125" s="1547"/>
      <c r="BN125" s="1547"/>
      <c r="BO125" s="1547"/>
      <c r="BP125" s="1547"/>
      <c r="BQ125" s="1547"/>
      <c r="BR125" s="1547"/>
      <c r="BS125" s="1547"/>
      <c r="BT125" s="1547"/>
      <c r="BU125" s="1547"/>
      <c r="BV125" s="1547"/>
      <c r="BW125" s="1547"/>
      <c r="BX125" s="1547"/>
      <c r="BY125" s="1547"/>
      <c r="BZ125" s="1547"/>
      <c r="CA125" s="1547"/>
      <c r="CB125" s="1547"/>
      <c r="CC125" s="1547"/>
      <c r="CD125" s="1547"/>
      <c r="CE125" s="1547"/>
    </row>
    <row r="126" spans="1:83" s="1829" customFormat="1" ht="5.25" hidden="1" customHeight="1">
      <c r="A126" s="1702"/>
      <c r="B126" s="1547"/>
      <c r="C126" s="1547"/>
      <c r="D126" s="6993"/>
      <c r="E126" s="556"/>
      <c r="F126" s="556"/>
      <c r="G126" s="556"/>
      <c r="H126" s="556"/>
      <c r="I126" s="556"/>
      <c r="J126" s="556"/>
      <c r="K126" s="556"/>
      <c r="L126" s="556"/>
      <c r="M126" s="556"/>
      <c r="N126" s="556"/>
      <c r="O126" s="556"/>
      <c r="P126" s="556"/>
      <c r="Q126" s="556"/>
      <c r="R126" s="556"/>
      <c r="S126" s="557"/>
      <c r="T126" s="637"/>
      <c r="U126" s="6762"/>
      <c r="V126" s="6762"/>
      <c r="W126" s="1547"/>
      <c r="X126" s="1547"/>
      <c r="Y126" s="1547"/>
      <c r="Z126" s="1547"/>
      <c r="AA126" s="1547"/>
      <c r="AB126" s="1547"/>
      <c r="AC126" s="944"/>
      <c r="AD126" s="945"/>
      <c r="AE126" s="1547"/>
      <c r="AF126" s="1547"/>
      <c r="AG126" s="1547"/>
      <c r="AH126" s="1547"/>
      <c r="AI126" s="1547"/>
      <c r="AJ126" s="1547"/>
      <c r="AK126" s="1547"/>
      <c r="AL126" s="1547"/>
      <c r="AM126" s="1547"/>
      <c r="AN126" s="1547"/>
      <c r="AO126" s="1547"/>
      <c r="AP126" s="1547"/>
      <c r="AQ126" s="1547"/>
      <c r="AR126" s="1547"/>
      <c r="AS126" s="1547"/>
      <c r="AT126" s="1547"/>
      <c r="AU126" s="1547"/>
      <c r="AV126" s="1547"/>
      <c r="AW126" s="1547"/>
      <c r="AX126" s="1547"/>
      <c r="AY126" s="1547"/>
      <c r="AZ126" s="1547"/>
      <c r="BA126" s="1547"/>
      <c r="BB126" s="1547"/>
      <c r="BC126" s="1547"/>
      <c r="BD126" s="1547"/>
      <c r="BE126" s="1547"/>
      <c r="BF126" s="1547"/>
      <c r="BG126" s="1547"/>
      <c r="BH126" s="1547"/>
      <c r="BI126" s="1547"/>
      <c r="BJ126" s="1547"/>
      <c r="BK126" s="1547"/>
      <c r="BL126" s="1547"/>
      <c r="BM126" s="1547"/>
      <c r="BN126" s="1547"/>
      <c r="BO126" s="1547"/>
      <c r="BP126" s="1547"/>
      <c r="BQ126" s="1547"/>
      <c r="BR126" s="1547"/>
      <c r="BS126" s="1547"/>
      <c r="BT126" s="1547"/>
      <c r="BU126" s="1547"/>
      <c r="BV126" s="1547"/>
      <c r="BW126" s="1547"/>
      <c r="BX126" s="1547"/>
      <c r="BY126" s="1547"/>
      <c r="BZ126" s="1547"/>
      <c r="CA126" s="1547"/>
      <c r="CB126" s="1547"/>
      <c r="CC126" s="1547"/>
      <c r="CD126" s="1547"/>
      <c r="CE126" s="1547"/>
    </row>
    <row r="127" spans="1:83" s="1829" customFormat="1" ht="5.25" hidden="1" customHeight="1">
      <c r="A127" s="1702"/>
      <c r="B127" s="1547"/>
      <c r="C127" s="1547"/>
      <c r="D127" s="6994"/>
      <c r="E127" s="950"/>
      <c r="F127" s="951"/>
      <c r="G127" s="951"/>
      <c r="H127" s="952"/>
      <c r="I127" s="952"/>
      <c r="J127" s="952"/>
      <c r="K127" s="952"/>
      <c r="L127" s="952"/>
      <c r="M127" s="952"/>
      <c r="N127" s="952"/>
      <c r="O127" s="952"/>
      <c r="P127" s="952"/>
      <c r="Q127" s="952"/>
      <c r="R127" s="855"/>
      <c r="S127" s="953"/>
      <c r="T127" s="637"/>
      <c r="U127" s="6762"/>
      <c r="V127" s="6762"/>
      <c r="W127" s="1547"/>
      <c r="X127" s="1547"/>
      <c r="Y127" s="1547"/>
      <c r="Z127" s="1547"/>
      <c r="AA127" s="1547"/>
      <c r="AB127" s="1547"/>
      <c r="AC127" s="944"/>
      <c r="AD127" s="945"/>
      <c r="AE127" s="1547"/>
      <c r="AF127" s="1547"/>
      <c r="AG127" s="1547"/>
      <c r="AH127" s="1547"/>
      <c r="AI127" s="1547"/>
      <c r="AJ127" s="1547"/>
      <c r="AK127" s="1547"/>
      <c r="AL127" s="1547"/>
      <c r="AM127" s="1547"/>
      <c r="AN127" s="1547"/>
      <c r="AO127" s="1547"/>
      <c r="AP127" s="1547"/>
      <c r="AQ127" s="1547"/>
      <c r="AR127" s="1547"/>
      <c r="AS127" s="1547"/>
      <c r="AT127" s="1547"/>
      <c r="AU127" s="1547"/>
      <c r="AV127" s="1547"/>
      <c r="AW127" s="1547"/>
      <c r="AX127" s="1547"/>
      <c r="AY127" s="1547"/>
      <c r="AZ127" s="1547"/>
      <c r="BA127" s="1547"/>
      <c r="BB127" s="1547"/>
      <c r="BC127" s="1547"/>
      <c r="BD127" s="1547"/>
      <c r="BE127" s="1547"/>
      <c r="BF127" s="1547"/>
      <c r="BG127" s="1547"/>
      <c r="BH127" s="1547"/>
      <c r="BI127" s="1547"/>
      <c r="BJ127" s="1547"/>
      <c r="BK127" s="1547"/>
      <c r="BL127" s="1547"/>
      <c r="BM127" s="1547"/>
      <c r="BN127" s="1547"/>
      <c r="BO127" s="1547"/>
      <c r="BP127" s="1547"/>
      <c r="BQ127" s="1547"/>
      <c r="BR127" s="1547"/>
      <c r="BS127" s="1547"/>
      <c r="BT127" s="1547"/>
      <c r="BU127" s="1547"/>
      <c r="BV127" s="1547"/>
      <c r="BW127" s="1547"/>
      <c r="BX127" s="1547"/>
      <c r="BY127" s="1547"/>
      <c r="BZ127" s="1547"/>
      <c r="CA127" s="1547"/>
      <c r="CB127" s="1547"/>
      <c r="CC127" s="1547"/>
      <c r="CD127" s="1547"/>
      <c r="CE127" s="1547"/>
    </row>
    <row r="128" spans="1:83" ht="17.25" customHeight="1">
      <c r="D128" s="1743"/>
    </row>
    <row r="129" spans="1:29" s="6553" customFormat="1" ht="11.25" customHeight="1">
      <c r="A129" s="1724" t="s">
        <v>1285</v>
      </c>
    </row>
    <row r="131" spans="1:29" s="1828" customFormat="1" ht="45" customHeight="1">
      <c r="A131" s="1715"/>
      <c r="B131" s="1060"/>
      <c r="C131" s="346"/>
      <c r="D131" s="23"/>
      <c r="E131" s="6985"/>
      <c r="F131" s="6611" t="s">
        <v>178</v>
      </c>
      <c r="G131" s="6988" t="s">
        <v>24</v>
      </c>
      <c r="H131" s="208"/>
      <c r="I131" s="558" t="s">
        <v>178</v>
      </c>
      <c r="J131" s="1716" t="s">
        <v>1286</v>
      </c>
      <c r="K131" s="559" t="s">
        <v>663</v>
      </c>
      <c r="L131" s="6736" t="s">
        <v>663</v>
      </c>
      <c r="M131" s="6657"/>
      <c r="N131" s="559" t="s">
        <v>663</v>
      </c>
      <c r="O131" s="559" t="s">
        <v>663</v>
      </c>
      <c r="P131" s="559" t="s">
        <v>663</v>
      </c>
      <c r="Q131" s="560">
        <f>SUM(Q132:Q134)</f>
        <v>0</v>
      </c>
      <c r="R131" s="560">
        <f>IF(R128=0,0,(Q128/R128)*100)</f>
        <v>0</v>
      </c>
      <c r="S131" s="6697"/>
      <c r="T131" s="636" t="s">
        <v>729</v>
      </c>
      <c r="U131" s="23"/>
      <c r="V131" s="23"/>
      <c r="AC131" s="23"/>
    </row>
    <row r="132" spans="1:29" s="1828" customFormat="1" ht="11.25" customHeight="1">
      <c r="A132" s="1715"/>
      <c r="B132" s="1060"/>
      <c r="C132" s="346"/>
      <c r="D132" s="23"/>
      <c r="E132" s="6986"/>
      <c r="F132" s="6611"/>
      <c r="G132" s="6988"/>
      <c r="H132" s="6629"/>
      <c r="I132" s="6884" t="s">
        <v>1053</v>
      </c>
      <c r="J132" s="6990"/>
      <c r="K132" s="6991"/>
      <c r="L132" s="561"/>
      <c r="M132" s="562" t="s">
        <v>178</v>
      </c>
      <c r="N132" s="1704"/>
      <c r="O132" s="563"/>
      <c r="P132" s="564"/>
      <c r="Q132" s="563"/>
      <c r="R132" s="565">
        <v>0</v>
      </c>
      <c r="S132" s="6697"/>
      <c r="T132" s="636"/>
      <c r="U132" s="23"/>
      <c r="V132" s="23"/>
      <c r="AC132" s="23"/>
    </row>
    <row r="133" spans="1:29" s="1828" customFormat="1" ht="11.25" customHeight="1">
      <c r="A133" s="1715"/>
      <c r="B133" s="1060"/>
      <c r="C133" s="346"/>
      <c r="D133" s="23"/>
      <c r="E133" s="6986"/>
      <c r="F133" s="6611"/>
      <c r="G133" s="6988"/>
      <c r="H133" s="6629"/>
      <c r="I133" s="6884"/>
      <c r="J133" s="6990"/>
      <c r="K133" s="6946"/>
      <c r="L133" s="566"/>
      <c r="M133" s="567"/>
      <c r="N133" s="568" t="s">
        <v>1287</v>
      </c>
      <c r="O133" s="568"/>
      <c r="P133" s="568"/>
      <c r="Q133" s="568"/>
      <c r="R133" s="569"/>
      <c r="S133" s="6697"/>
      <c r="T133" s="636"/>
      <c r="U133" s="23"/>
      <c r="V133" s="23"/>
      <c r="AC133" s="23"/>
    </row>
    <row r="134" spans="1:29" s="1828" customFormat="1" ht="11.25" customHeight="1">
      <c r="A134" s="1715"/>
      <c r="B134" s="1060"/>
      <c r="C134" s="346"/>
      <c r="D134" s="23"/>
      <c r="E134" s="6987"/>
      <c r="F134" s="6611"/>
      <c r="G134" s="6989"/>
      <c r="H134" s="566" t="s">
        <v>24</v>
      </c>
      <c r="I134" s="567"/>
      <c r="J134" s="568" t="s">
        <v>1288</v>
      </c>
      <c r="K134" s="568"/>
      <c r="L134" s="568"/>
      <c r="M134" s="568"/>
      <c r="N134" s="568"/>
      <c r="O134" s="568"/>
      <c r="P134" s="568"/>
      <c r="Q134" s="568"/>
      <c r="R134" s="569"/>
      <c r="S134" s="6697"/>
      <c r="T134" s="636"/>
      <c r="U134" s="23"/>
      <c r="V134" s="23"/>
      <c r="AC134" s="23"/>
    </row>
    <row r="139" spans="1:29" s="1828" customFormat="1" ht="11.25" customHeight="1">
      <c r="A139" s="1715"/>
      <c r="B139" s="1060"/>
      <c r="C139" s="346"/>
      <c r="D139" s="23"/>
      <c r="E139" s="1737"/>
      <c r="F139" s="1737"/>
      <c r="G139" s="1737"/>
      <c r="H139" s="6629"/>
      <c r="I139" s="6884" t="s">
        <v>1053</v>
      </c>
      <c r="J139" s="6990"/>
      <c r="K139" s="6991"/>
      <c r="L139" s="561"/>
      <c r="M139" s="562" t="s">
        <v>178</v>
      </c>
      <c r="N139" s="1704"/>
      <c r="O139" s="563"/>
      <c r="P139" s="564"/>
      <c r="Q139" s="563"/>
      <c r="R139" s="565">
        <v>0</v>
      </c>
      <c r="S139" s="23"/>
      <c r="T139" s="636"/>
      <c r="U139" s="23"/>
      <c r="V139" s="23"/>
      <c r="AC139" s="23"/>
    </row>
    <row r="140" spans="1:29" s="1828" customFormat="1" ht="11.25" customHeight="1">
      <c r="A140" s="1715"/>
      <c r="B140" s="1060"/>
      <c r="C140" s="346"/>
      <c r="D140" s="23"/>
      <c r="E140" s="1737"/>
      <c r="F140" s="1737"/>
      <c r="G140" s="1737"/>
      <c r="H140" s="6629"/>
      <c r="I140" s="6884"/>
      <c r="J140" s="6990"/>
      <c r="K140" s="6946"/>
      <c r="L140" s="566"/>
      <c r="M140" s="567"/>
      <c r="N140" s="568" t="s">
        <v>1287</v>
      </c>
      <c r="O140" s="568"/>
      <c r="P140" s="568"/>
      <c r="Q140" s="568"/>
      <c r="R140" s="569"/>
      <c r="S140" s="23"/>
      <c r="T140" s="636"/>
      <c r="U140" s="23"/>
      <c r="V140" s="23"/>
      <c r="AC140" s="23"/>
    </row>
    <row r="142" spans="1:29" s="1828" customFormat="1" ht="11.25" customHeight="1">
      <c r="A142" s="1715"/>
      <c r="B142" s="1060"/>
      <c r="C142" s="346"/>
      <c r="D142" s="23"/>
      <c r="E142" s="1744"/>
      <c r="F142" s="1742"/>
      <c r="G142" s="1742"/>
      <c r="H142" s="1745"/>
      <c r="I142" s="1737"/>
      <c r="J142" s="1738"/>
      <c r="K142" s="1738"/>
      <c r="L142" s="561"/>
      <c r="M142" s="562" t="s">
        <v>178</v>
      </c>
      <c r="N142" s="1704"/>
      <c r="O142" s="563"/>
      <c r="P142" s="564"/>
      <c r="Q142" s="563"/>
      <c r="R142" s="565">
        <v>0</v>
      </c>
      <c r="S142" s="23"/>
      <c r="T142" s="636"/>
      <c r="U142" s="23"/>
      <c r="V142" s="23"/>
      <c r="AC142" s="23"/>
    </row>
    <row r="144" spans="1:29" s="6553" customFormat="1" ht="17.25" customHeight="1">
      <c r="A144" s="1724" t="s">
        <v>1289</v>
      </c>
    </row>
    <row r="145" spans="1:43" ht="17.25" customHeight="1">
      <c r="G145" s="1746"/>
      <c r="H145" s="1746"/>
      <c r="I145" s="1746"/>
      <c r="M145" s="1742"/>
    </row>
    <row r="146" spans="1:43" s="6556" customFormat="1" ht="17.25" customHeight="1">
      <c r="A146" s="1747"/>
      <c r="C146" s="1749"/>
      <c r="D146" s="6682"/>
      <c r="E146" s="6645"/>
      <c r="F146" s="6647"/>
      <c r="G146" s="6659"/>
      <c r="H146" s="6682"/>
      <c r="I146" s="6682">
        <v>1</v>
      </c>
      <c r="J146" s="6685"/>
      <c r="K146" s="6688" t="s">
        <v>61</v>
      </c>
      <c r="L146" s="6611"/>
      <c r="M146" s="6611" t="s">
        <v>178</v>
      </c>
      <c r="N146" s="6683" t="str">
        <f>IF(Z146="","",INDEX(TERRITORY_MR_LIST,MATCH(Z146,TERRITORY_LIST_ID,0)))</f>
        <v/>
      </c>
      <c r="O146" s="6688" t="s">
        <v>61</v>
      </c>
      <c r="P146" s="6611"/>
      <c r="Q146" s="6611" t="s">
        <v>178</v>
      </c>
      <c r="R146" s="6946" t="s">
        <v>24</v>
      </c>
      <c r="S146" s="6610" t="s">
        <v>61</v>
      </c>
      <c r="T146" s="1720"/>
      <c r="U146" s="1720" t="s">
        <v>178</v>
      </c>
      <c r="V146" s="1750" t="s">
        <v>24</v>
      </c>
      <c r="W146" s="1710"/>
      <c r="Y146" s="1186"/>
      <c r="Z146" s="1186"/>
      <c r="AA146" s="1186"/>
      <c r="AB146" s="1186"/>
      <c r="AC146" s="1186"/>
      <c r="AD146" s="1186"/>
      <c r="AE146" s="1186"/>
      <c r="AF146" s="1186"/>
      <c r="AG146" s="1186"/>
      <c r="AH146" s="1186"/>
      <c r="AI146" s="1186"/>
      <c r="AJ146" s="1186"/>
      <c r="AK146" s="1186"/>
      <c r="AL146" s="1751"/>
      <c r="AM146" s="1751"/>
      <c r="AN146" s="1186"/>
      <c r="AO146" s="1186"/>
      <c r="AP146" s="1186"/>
      <c r="AQ146" s="1186"/>
    </row>
    <row r="147" spans="1:43" s="6556" customFormat="1" ht="17.25" customHeight="1">
      <c r="A147" s="1747"/>
      <c r="C147" s="1752"/>
      <c r="D147" s="6682"/>
      <c r="E147" s="6645"/>
      <c r="F147" s="6648"/>
      <c r="G147" s="6659"/>
      <c r="H147" s="6682"/>
      <c r="I147" s="6682"/>
      <c r="J147" s="6685"/>
      <c r="K147" s="6689"/>
      <c r="L147" s="6611"/>
      <c r="M147" s="6611"/>
      <c r="N147" s="6683"/>
      <c r="O147" s="6689"/>
      <c r="P147" s="6611"/>
      <c r="Q147" s="6611"/>
      <c r="R147" s="6946"/>
      <c r="S147" s="6610"/>
      <c r="T147" s="241"/>
      <c r="U147" s="242"/>
      <c r="V147" s="242" t="s">
        <v>228</v>
      </c>
      <c r="W147" s="243"/>
      <c r="Y147" s="1179"/>
      <c r="Z147" s="1179"/>
      <c r="AA147" s="1179"/>
      <c r="AB147" s="1179"/>
      <c r="AC147" s="1179"/>
      <c r="AD147" s="1179"/>
      <c r="AE147" s="1179"/>
      <c r="AF147" s="1179"/>
      <c r="AG147" s="1179"/>
      <c r="AH147" s="1179"/>
      <c r="AI147" s="1179"/>
      <c r="AJ147" s="1179"/>
      <c r="AK147" s="1179"/>
    </row>
    <row r="148" spans="1:43" s="6556" customFormat="1" ht="17.25" customHeight="1">
      <c r="A148" s="1747"/>
      <c r="C148" s="1752"/>
      <c r="D148" s="6644"/>
      <c r="E148" s="6646"/>
      <c r="F148" s="6648"/>
      <c r="G148" s="6660"/>
      <c r="H148" s="6644"/>
      <c r="I148" s="6644"/>
      <c r="J148" s="6686"/>
      <c r="K148" s="6689"/>
      <c r="L148" s="6644"/>
      <c r="M148" s="6644"/>
      <c r="N148" s="6684"/>
      <c r="O148" s="6615"/>
      <c r="P148" s="241"/>
      <c r="Q148" s="242"/>
      <c r="R148" s="242" t="s">
        <v>229</v>
      </c>
      <c r="S148" s="1753"/>
      <c r="T148" s="1753"/>
      <c r="U148" s="1753"/>
      <c r="V148" s="1753"/>
      <c r="W148" s="243"/>
      <c r="Y148" s="1179"/>
      <c r="Z148" s="1179"/>
      <c r="AA148" s="1179"/>
      <c r="AB148" s="1179"/>
      <c r="AC148" s="1179"/>
      <c r="AD148" s="1179"/>
      <c r="AE148" s="1179"/>
      <c r="AF148" s="1179"/>
      <c r="AG148" s="1179"/>
      <c r="AH148" s="1179"/>
      <c r="AI148" s="1179"/>
      <c r="AJ148" s="1179"/>
      <c r="AK148" s="1179"/>
    </row>
    <row r="149" spans="1:43" s="6556" customFormat="1" ht="17.25" customHeight="1">
      <c r="A149" s="1747"/>
      <c r="C149" s="1752"/>
      <c r="D149" s="6644"/>
      <c r="E149" s="6646"/>
      <c r="F149" s="6648"/>
      <c r="G149" s="6660"/>
      <c r="H149" s="6644"/>
      <c r="I149" s="6644"/>
      <c r="J149" s="6686"/>
      <c r="K149" s="6615"/>
      <c r="L149" s="241"/>
      <c r="M149" s="242"/>
      <c r="N149" s="242" t="s">
        <v>272</v>
      </c>
      <c r="O149" s="242"/>
      <c r="P149" s="242"/>
      <c r="Q149" s="242"/>
      <c r="R149" s="242"/>
      <c r="S149" s="1753"/>
      <c r="T149" s="1753"/>
      <c r="U149" s="1753"/>
      <c r="V149" s="1753"/>
      <c r="W149" s="243"/>
      <c r="Y149" s="1179"/>
      <c r="Z149" s="1179"/>
      <c r="AA149" s="1179"/>
      <c r="AB149" s="1179"/>
      <c r="AC149" s="1179"/>
      <c r="AD149" s="1179"/>
      <c r="AE149" s="1179"/>
      <c r="AF149" s="1179"/>
      <c r="AG149" s="1179"/>
      <c r="AH149" s="1179"/>
      <c r="AI149" s="1179"/>
      <c r="AJ149" s="1179"/>
      <c r="AK149" s="1179"/>
    </row>
    <row r="150" spans="1:43" s="6556" customFormat="1" ht="17.25" customHeight="1">
      <c r="A150" s="1747"/>
      <c r="C150" s="1752"/>
      <c r="D150" s="6644"/>
      <c r="E150" s="6646"/>
      <c r="F150" s="6649"/>
      <c r="G150" s="6660"/>
      <c r="H150" s="241"/>
      <c r="I150" s="242"/>
      <c r="J150" s="242" t="s">
        <v>273</v>
      </c>
      <c r="K150" s="242"/>
      <c r="L150" s="242"/>
      <c r="M150" s="242"/>
      <c r="N150" s="242"/>
      <c r="O150" s="242"/>
      <c r="P150" s="242"/>
      <c r="Q150" s="242"/>
      <c r="R150" s="242"/>
      <c r="S150" s="1753"/>
      <c r="T150" s="1753"/>
      <c r="U150" s="1753"/>
      <c r="V150" s="1753"/>
      <c r="W150" s="243"/>
      <c r="Y150" s="1179"/>
      <c r="Z150" s="1179"/>
      <c r="AA150" s="1179"/>
      <c r="AB150" s="1179"/>
      <c r="AC150" s="1179"/>
      <c r="AD150" s="1179"/>
      <c r="AE150" s="1179"/>
      <c r="AF150" s="1179"/>
      <c r="AG150" s="1179"/>
      <c r="AH150" s="1179"/>
      <c r="AI150" s="1179"/>
      <c r="AJ150" s="1179"/>
      <c r="AK150" s="1179"/>
    </row>
    <row r="151" spans="1:43" ht="17.25" customHeight="1">
      <c r="G151" s="1746"/>
      <c r="H151" s="1746"/>
      <c r="I151" s="1746"/>
      <c r="M151" s="1742"/>
    </row>
    <row r="152" spans="1:43" s="6556" customFormat="1" ht="17.25" customHeight="1">
      <c r="A152" s="1747"/>
      <c r="C152" s="1749"/>
      <c r="D152" s="1737"/>
      <c r="E152" s="1754"/>
      <c r="F152" s="1693"/>
      <c r="G152" s="1755"/>
      <c r="H152" s="6682"/>
      <c r="I152" s="6682">
        <v>1</v>
      </c>
      <c r="J152" s="6685"/>
      <c r="K152" s="6688" t="s">
        <v>61</v>
      </c>
      <c r="L152" s="6611"/>
      <c r="M152" s="6611" t="s">
        <v>178</v>
      </c>
      <c r="N152" s="6683" t="str">
        <f>IF(Z152="","",INDEX(TERRITORY_MR_LIST,MATCH(Z152,TERRITORY_LIST_ID,0)))</f>
        <v/>
      </c>
      <c r="O152" s="6688" t="s">
        <v>61</v>
      </c>
      <c r="P152" s="6611"/>
      <c r="Q152" s="6611" t="s">
        <v>178</v>
      </c>
      <c r="R152" s="6946" t="s">
        <v>24</v>
      </c>
      <c r="S152" s="6610" t="s">
        <v>61</v>
      </c>
      <c r="T152" s="1720"/>
      <c r="U152" s="1720" t="s">
        <v>178</v>
      </c>
      <c r="V152" s="1750" t="s">
        <v>24</v>
      </c>
      <c r="W152" s="1710"/>
      <c r="Y152" s="1186"/>
      <c r="Z152" s="1186"/>
      <c r="AA152" s="1186"/>
      <c r="AB152" s="1186"/>
      <c r="AC152" s="1186"/>
      <c r="AD152" s="1186"/>
      <c r="AE152" s="1186"/>
      <c r="AF152" s="1186"/>
      <c r="AG152" s="1186"/>
      <c r="AH152" s="1186"/>
      <c r="AI152" s="1186"/>
      <c r="AJ152" s="1186"/>
      <c r="AK152" s="1186"/>
      <c r="AL152" s="1751"/>
      <c r="AM152" s="1751"/>
      <c r="AN152" s="1186"/>
      <c r="AO152" s="1186"/>
      <c r="AP152" s="1186"/>
      <c r="AQ152" s="1186"/>
    </row>
    <row r="153" spans="1:43" s="6556" customFormat="1" ht="17.25" customHeight="1">
      <c r="A153" s="1747"/>
      <c r="C153" s="1752"/>
      <c r="D153" s="1737"/>
      <c r="E153" s="1754"/>
      <c r="F153" s="1693"/>
      <c r="G153" s="1755"/>
      <c r="H153" s="6682"/>
      <c r="I153" s="6682"/>
      <c r="J153" s="6685"/>
      <c r="K153" s="6689"/>
      <c r="L153" s="6611"/>
      <c r="M153" s="6611"/>
      <c r="N153" s="6683"/>
      <c r="O153" s="6689"/>
      <c r="P153" s="6611"/>
      <c r="Q153" s="6611"/>
      <c r="R153" s="6946"/>
      <c r="S153" s="6610"/>
      <c r="T153" s="241"/>
      <c r="U153" s="242"/>
      <c r="V153" s="242" t="s">
        <v>228</v>
      </c>
      <c r="W153" s="243"/>
      <c r="Y153" s="1179"/>
      <c r="Z153" s="1179"/>
      <c r="AA153" s="1179"/>
      <c r="AB153" s="1179"/>
      <c r="AC153" s="1179"/>
      <c r="AD153" s="1179"/>
      <c r="AE153" s="1179"/>
      <c r="AF153" s="1179"/>
      <c r="AG153" s="1179"/>
      <c r="AH153" s="1179"/>
      <c r="AI153" s="1179"/>
      <c r="AJ153" s="1179"/>
      <c r="AK153" s="1179"/>
    </row>
    <row r="154" spans="1:43" s="6556" customFormat="1" ht="17.25" customHeight="1">
      <c r="A154" s="1747"/>
      <c r="C154" s="1752"/>
      <c r="D154" s="1737"/>
      <c r="E154" s="1754"/>
      <c r="F154" s="1693"/>
      <c r="G154" s="1755"/>
      <c r="H154" s="6644"/>
      <c r="I154" s="6644"/>
      <c r="J154" s="6686"/>
      <c r="K154" s="6689"/>
      <c r="L154" s="6644"/>
      <c r="M154" s="6644"/>
      <c r="N154" s="6684"/>
      <c r="O154" s="6615"/>
      <c r="P154" s="241"/>
      <c r="Q154" s="242"/>
      <c r="R154" s="242" t="s">
        <v>229</v>
      </c>
      <c r="S154" s="1753"/>
      <c r="T154" s="1753"/>
      <c r="U154" s="1753"/>
      <c r="V154" s="1753"/>
      <c r="W154" s="243"/>
      <c r="Y154" s="1179"/>
      <c r="Z154" s="1179"/>
      <c r="AA154" s="1179"/>
      <c r="AB154" s="1179"/>
      <c r="AC154" s="1179"/>
      <c r="AD154" s="1179"/>
      <c r="AE154" s="1179"/>
      <c r="AF154" s="1179"/>
      <c r="AG154" s="1179"/>
      <c r="AH154" s="1179"/>
      <c r="AI154" s="1179"/>
      <c r="AJ154" s="1179"/>
      <c r="AK154" s="1179"/>
    </row>
    <row r="155" spans="1:43" s="6556" customFormat="1" ht="17.25" customHeight="1">
      <c r="A155" s="1747"/>
      <c r="C155" s="1752"/>
      <c r="D155" s="1737"/>
      <c r="E155" s="1754"/>
      <c r="F155" s="1693"/>
      <c r="G155" s="1755"/>
      <c r="H155" s="6644"/>
      <c r="I155" s="6644"/>
      <c r="J155" s="6686"/>
      <c r="K155" s="6615"/>
      <c r="L155" s="241"/>
      <c r="M155" s="242"/>
      <c r="N155" s="242" t="s">
        <v>272</v>
      </c>
      <c r="O155" s="242"/>
      <c r="P155" s="242"/>
      <c r="Q155" s="242"/>
      <c r="R155" s="242"/>
      <c r="S155" s="1753"/>
      <c r="T155" s="1753"/>
      <c r="U155" s="1753"/>
      <c r="V155" s="1753"/>
      <c r="W155" s="243"/>
      <c r="Y155" s="1179"/>
      <c r="Z155" s="1179"/>
      <c r="AA155" s="1179"/>
      <c r="AB155" s="1179"/>
      <c r="AC155" s="1179"/>
      <c r="AD155" s="1179"/>
      <c r="AE155" s="1179"/>
      <c r="AF155" s="1179"/>
      <c r="AG155" s="1179"/>
      <c r="AH155" s="1179"/>
      <c r="AI155" s="1179"/>
      <c r="AJ155" s="1179"/>
      <c r="AK155" s="1179"/>
    </row>
    <row r="156" spans="1:43" ht="17.25" customHeight="1">
      <c r="G156" s="1746"/>
      <c r="H156" s="1746"/>
      <c r="I156" s="1746"/>
      <c r="M156" s="1742"/>
    </row>
    <row r="157" spans="1:43" s="6556" customFormat="1" ht="17.25" customHeight="1">
      <c r="A157" s="1747"/>
      <c r="C157" s="1749"/>
      <c r="D157" s="1737"/>
      <c r="E157" s="1754"/>
      <c r="F157" s="1693"/>
      <c r="G157" s="1755"/>
      <c r="H157" s="1737"/>
      <c r="I157" s="1737"/>
      <c r="J157" s="1756"/>
      <c r="K157" s="1668"/>
      <c r="L157" s="6611"/>
      <c r="M157" s="6611" t="s">
        <v>178</v>
      </c>
      <c r="N157" s="6683" t="str">
        <f>IF(Z157="","",INDEX(TERRITORY_MR_LIST,MATCH(Z157,TERRITORY_LIST_ID,0)))</f>
        <v/>
      </c>
      <c r="O157" s="6688" t="s">
        <v>61</v>
      </c>
      <c r="P157" s="6611"/>
      <c r="Q157" s="6611" t="s">
        <v>178</v>
      </c>
      <c r="R157" s="6946" t="s">
        <v>24</v>
      </c>
      <c r="S157" s="6610" t="s">
        <v>61</v>
      </c>
      <c r="T157" s="1720"/>
      <c r="U157" s="1720" t="s">
        <v>178</v>
      </c>
      <c r="V157" s="1750" t="s">
        <v>24</v>
      </c>
      <c r="W157" s="1710"/>
      <c r="Y157" s="1186"/>
      <c r="Z157" s="1186"/>
      <c r="AA157" s="1186"/>
      <c r="AB157" s="1186"/>
      <c r="AC157" s="1186"/>
      <c r="AD157" s="1186"/>
      <c r="AE157" s="1186"/>
      <c r="AF157" s="1186"/>
      <c r="AG157" s="1186"/>
      <c r="AH157" s="1186"/>
      <c r="AI157" s="1186"/>
      <c r="AJ157" s="1186"/>
      <c r="AK157" s="1186"/>
      <c r="AL157" s="1751"/>
      <c r="AM157" s="1751"/>
      <c r="AN157" s="1186"/>
      <c r="AO157" s="1186"/>
      <c r="AP157" s="1186"/>
      <c r="AQ157" s="1186"/>
    </row>
    <row r="158" spans="1:43" s="6556" customFormat="1" ht="17.25" customHeight="1">
      <c r="A158" s="1747"/>
      <c r="C158" s="1752"/>
      <c r="D158" s="1737"/>
      <c r="E158" s="1754"/>
      <c r="F158" s="1693"/>
      <c r="G158" s="1755"/>
      <c r="H158" s="1737"/>
      <c r="I158" s="1737"/>
      <c r="J158" s="1756"/>
      <c r="K158" s="1668"/>
      <c r="L158" s="6611"/>
      <c r="M158" s="6611"/>
      <c r="N158" s="6683"/>
      <c r="O158" s="6689"/>
      <c r="P158" s="6611"/>
      <c r="Q158" s="6611"/>
      <c r="R158" s="6946"/>
      <c r="S158" s="6610"/>
      <c r="T158" s="241"/>
      <c r="U158" s="242"/>
      <c r="V158" s="242" t="s">
        <v>228</v>
      </c>
      <c r="W158" s="243"/>
      <c r="Y158" s="1179"/>
      <c r="Z158" s="1179"/>
      <c r="AA158" s="1179"/>
      <c r="AB158" s="1179"/>
      <c r="AC158" s="1179"/>
      <c r="AD158" s="1179"/>
      <c r="AE158" s="1179"/>
      <c r="AF158" s="1179"/>
      <c r="AG158" s="1179"/>
      <c r="AH158" s="1179"/>
      <c r="AI158" s="1179"/>
      <c r="AJ158" s="1179"/>
      <c r="AK158" s="1179"/>
    </row>
    <row r="159" spans="1:43" s="6556" customFormat="1" ht="17.25" customHeight="1">
      <c r="A159" s="1747"/>
      <c r="C159" s="1752"/>
      <c r="D159" s="1737"/>
      <c r="E159" s="1754"/>
      <c r="F159" s="1693"/>
      <c r="G159" s="1755"/>
      <c r="H159" s="1737"/>
      <c r="I159" s="1737"/>
      <c r="J159" s="1756"/>
      <c r="K159" s="1668"/>
      <c r="L159" s="6644"/>
      <c r="M159" s="6644"/>
      <c r="N159" s="6684"/>
      <c r="O159" s="6615"/>
      <c r="P159" s="241"/>
      <c r="Q159" s="242"/>
      <c r="R159" s="242" t="s">
        <v>229</v>
      </c>
      <c r="S159" s="1753"/>
      <c r="T159" s="1753"/>
      <c r="U159" s="1753"/>
      <c r="V159" s="1753"/>
      <c r="W159" s="243"/>
      <c r="Y159" s="1179"/>
      <c r="Z159" s="1179"/>
      <c r="AA159" s="1179"/>
      <c r="AB159" s="1179"/>
      <c r="AC159" s="1179"/>
      <c r="AD159" s="1179"/>
      <c r="AE159" s="1179"/>
      <c r="AF159" s="1179"/>
      <c r="AG159" s="1179"/>
      <c r="AH159" s="1179"/>
      <c r="AI159" s="1179"/>
      <c r="AJ159" s="1179"/>
      <c r="AK159" s="1179"/>
    </row>
    <row r="160" spans="1:43" ht="17.25" customHeight="1">
      <c r="G160" s="1746"/>
      <c r="H160" s="1746"/>
      <c r="I160" s="1746"/>
      <c r="M160" s="1742"/>
    </row>
    <row r="161" spans="1:43" s="6556" customFormat="1" ht="17.25" customHeight="1">
      <c r="A161" s="1747"/>
      <c r="C161" s="1749"/>
      <c r="D161" s="1737"/>
      <c r="E161" s="1754"/>
      <c r="F161" s="1693"/>
      <c r="G161" s="1755"/>
      <c r="H161" s="1737"/>
      <c r="I161" s="1737"/>
      <c r="J161" s="1756"/>
      <c r="K161" s="1668"/>
      <c r="L161" s="1664"/>
      <c r="M161" s="1664"/>
      <c r="N161" s="1757"/>
      <c r="O161" s="1696"/>
      <c r="P161" s="6611"/>
      <c r="Q161" s="6611" t="s">
        <v>178</v>
      </c>
      <c r="R161" s="6946" t="s">
        <v>24</v>
      </c>
      <c r="S161" s="6610" t="s">
        <v>61</v>
      </c>
      <c r="T161" s="1720"/>
      <c r="U161" s="1720" t="s">
        <v>178</v>
      </c>
      <c r="V161" s="1750" t="s">
        <v>24</v>
      </c>
      <c r="W161" s="1710"/>
      <c r="Y161" s="1186"/>
      <c r="Z161" s="1186"/>
      <c r="AA161" s="1186"/>
      <c r="AB161" s="1186"/>
      <c r="AC161" s="1186"/>
      <c r="AD161" s="1186"/>
      <c r="AE161" s="1186"/>
      <c r="AF161" s="1186"/>
      <c r="AG161" s="1186"/>
      <c r="AH161" s="1186"/>
      <c r="AI161" s="1186"/>
      <c r="AJ161" s="1186"/>
      <c r="AK161" s="1186"/>
      <c r="AL161" s="1751"/>
      <c r="AM161" s="1751"/>
      <c r="AN161" s="1186"/>
      <c r="AO161" s="1186"/>
      <c r="AP161" s="1186"/>
      <c r="AQ161" s="1186"/>
    </row>
    <row r="162" spans="1:43" s="6556" customFormat="1" ht="17.25" customHeight="1">
      <c r="A162" s="1747"/>
      <c r="C162" s="1752"/>
      <c r="D162" s="1737"/>
      <c r="E162" s="1754"/>
      <c r="F162" s="1693"/>
      <c r="G162" s="1755"/>
      <c r="H162" s="1737"/>
      <c r="I162" s="1737"/>
      <c r="J162" s="1756"/>
      <c r="K162" s="1668"/>
      <c r="L162" s="1664"/>
      <c r="M162" s="1664"/>
      <c r="N162" s="1757"/>
      <c r="O162" s="1696"/>
      <c r="P162" s="6611"/>
      <c r="Q162" s="6611"/>
      <c r="R162" s="6946"/>
      <c r="S162" s="6610"/>
      <c r="T162" s="241"/>
      <c r="U162" s="242"/>
      <c r="V162" s="242" t="s">
        <v>228</v>
      </c>
      <c r="W162" s="243"/>
      <c r="Y162" s="1179"/>
      <c r="Z162" s="1179"/>
      <c r="AA162" s="1179"/>
      <c r="AB162" s="1179"/>
      <c r="AC162" s="1179"/>
      <c r="AD162" s="1179"/>
      <c r="AE162" s="1179"/>
      <c r="AF162" s="1179"/>
      <c r="AG162" s="1179"/>
      <c r="AH162" s="1179"/>
      <c r="AI162" s="1179"/>
      <c r="AJ162" s="1179"/>
      <c r="AK162" s="1179"/>
    </row>
    <row r="163" spans="1:43" ht="17.25" customHeight="1">
      <c r="G163" s="1746"/>
      <c r="H163" s="1746"/>
      <c r="I163" s="1746"/>
      <c r="M163" s="1742"/>
    </row>
    <row r="164" spans="1:43" s="6556" customFormat="1" ht="17.25" customHeight="1">
      <c r="A164" s="1747"/>
      <c r="C164" s="1749"/>
      <c r="D164" s="1737"/>
      <c r="E164" s="1754"/>
      <c r="F164" s="1693"/>
      <c r="G164" s="1755"/>
      <c r="H164" s="1664"/>
      <c r="I164" s="1664"/>
      <c r="J164" s="1665"/>
      <c r="K164" s="1755"/>
      <c r="L164" s="1664"/>
      <c r="M164" s="1664"/>
      <c r="N164" s="1755"/>
      <c r="O164" s="1755"/>
      <c r="P164" s="1664"/>
      <c r="Q164" s="1664"/>
      <c r="R164" s="1666"/>
      <c r="S164" s="1755"/>
      <c r="T164" s="1720"/>
      <c r="U164" s="1720" t="s">
        <v>178</v>
      </c>
      <c r="V164" s="1750" t="s">
        <v>24</v>
      </c>
      <c r="W164" s="1710"/>
      <c r="Y164" s="1186"/>
      <c r="Z164" s="1186"/>
      <c r="AA164" s="1186"/>
      <c r="AB164" s="1186"/>
      <c r="AC164" s="1186"/>
      <c r="AD164" s="1186"/>
      <c r="AE164" s="1186"/>
      <c r="AF164" s="1186"/>
      <c r="AG164" s="1186"/>
      <c r="AH164" s="1186"/>
      <c r="AI164" s="1186"/>
      <c r="AJ164" s="1186"/>
      <c r="AK164" s="1186"/>
      <c r="AL164" s="1751"/>
      <c r="AM164" s="1751"/>
      <c r="AN164" s="1186"/>
      <c r="AO164" s="1186"/>
      <c r="AP164" s="1186"/>
      <c r="AQ164" s="1186"/>
    </row>
    <row r="166" spans="1:43" s="6553" customFormat="1" ht="17.25" customHeight="1">
      <c r="A166" s="1724" t="s">
        <v>1290</v>
      </c>
    </row>
    <row r="167" spans="1:43" ht="17.25" customHeight="1">
      <c r="G167" s="1746"/>
      <c r="H167" s="1746"/>
      <c r="I167" s="1746"/>
      <c r="M167" s="1742"/>
    </row>
    <row r="168" spans="1:43" s="6556" customFormat="1" ht="17.25" customHeight="1">
      <c r="A168" s="1747"/>
      <c r="C168" s="1749"/>
      <c r="D168" s="6682"/>
      <c r="E168" s="6645"/>
      <c r="F168" s="6647"/>
      <c r="G168" s="6659"/>
      <c r="H168" s="6682"/>
      <c r="I168" s="6682">
        <v>1</v>
      </c>
      <c r="J168" s="6685"/>
      <c r="K168" s="6688" t="s">
        <v>61</v>
      </c>
      <c r="L168" s="6611"/>
      <c r="M168" s="6611" t="s">
        <v>178</v>
      </c>
      <c r="N168" s="6683" t="str">
        <f>IF(Z168="","",INDEX(TERRITORY_MR_LIST,MATCH(Z168,TERRITORY_LIST_ID,0)))</f>
        <v/>
      </c>
      <c r="O168" s="6688" t="s">
        <v>61</v>
      </c>
      <c r="P168" s="6611"/>
      <c r="Q168" s="6611" t="s">
        <v>178</v>
      </c>
      <c r="R168" s="6946" t="s">
        <v>24</v>
      </c>
      <c r="S168" s="6867" t="s">
        <v>56</v>
      </c>
      <c r="T168" s="1711"/>
      <c r="U168" s="1711" t="s">
        <v>178</v>
      </c>
      <c r="V168" s="1348"/>
      <c r="W168" s="6685"/>
      <c r="Y168" s="1186"/>
      <c r="Z168" s="1186"/>
      <c r="AA168" s="1186"/>
      <c r="AB168" s="1186"/>
      <c r="AC168" s="1186"/>
      <c r="AD168" s="1186"/>
      <c r="AE168" s="1186"/>
      <c r="AF168" s="1186"/>
      <c r="AG168" s="1186"/>
      <c r="AH168" s="1186"/>
      <c r="AI168" s="1186"/>
      <c r="AJ168" s="1186"/>
      <c r="AK168" s="1186"/>
      <c r="AL168" s="1751"/>
      <c r="AM168" s="1751"/>
      <c r="AN168" s="1186"/>
      <c r="AO168" s="1186"/>
      <c r="AP168" s="1186"/>
      <c r="AQ168" s="1186"/>
    </row>
    <row r="169" spans="1:43" s="6556" customFormat="1" ht="17.25" customHeight="1">
      <c r="A169" s="1747"/>
      <c r="C169" s="1752"/>
      <c r="D169" s="6682"/>
      <c r="E169" s="6645"/>
      <c r="F169" s="6648"/>
      <c r="G169" s="6659"/>
      <c r="H169" s="6682"/>
      <c r="I169" s="6682"/>
      <c r="J169" s="6685"/>
      <c r="K169" s="6689"/>
      <c r="L169" s="6611"/>
      <c r="M169" s="6611"/>
      <c r="N169" s="6683"/>
      <c r="O169" s="6689"/>
      <c r="P169" s="6611"/>
      <c r="Q169" s="6611"/>
      <c r="R169" s="6946"/>
      <c r="S169" s="6867"/>
      <c r="T169" s="1349"/>
      <c r="U169" s="1350"/>
      <c r="V169" s="1350"/>
      <c r="W169" s="6685"/>
      <c r="Y169" s="1179"/>
      <c r="Z169" s="1179"/>
      <c r="AA169" s="1179"/>
      <c r="AB169" s="1179"/>
      <c r="AC169" s="1179"/>
      <c r="AD169" s="1179"/>
      <c r="AE169" s="1179"/>
      <c r="AF169" s="1179"/>
      <c r="AG169" s="1179"/>
      <c r="AH169" s="1179"/>
      <c r="AI169" s="1179"/>
      <c r="AJ169" s="1179"/>
      <c r="AK169" s="1179"/>
    </row>
    <row r="170" spans="1:43" s="6556" customFormat="1" ht="17.25" customHeight="1">
      <c r="A170" s="1747"/>
      <c r="C170" s="1752"/>
      <c r="D170" s="6644"/>
      <c r="E170" s="6646"/>
      <c r="F170" s="6648"/>
      <c r="G170" s="6660"/>
      <c r="H170" s="6644"/>
      <c r="I170" s="6644"/>
      <c r="J170" s="6686"/>
      <c r="K170" s="6689"/>
      <c r="L170" s="6644"/>
      <c r="M170" s="6644"/>
      <c r="N170" s="6684"/>
      <c r="O170" s="6615"/>
      <c r="P170" s="241"/>
      <c r="Q170" s="242"/>
      <c r="R170" s="242" t="s">
        <v>229</v>
      </c>
      <c r="S170" s="1753"/>
      <c r="T170" s="1753"/>
      <c r="U170" s="1753"/>
      <c r="V170" s="1753"/>
      <c r="W170" s="1347"/>
      <c r="Y170" s="1179"/>
      <c r="Z170" s="1179"/>
      <c r="AA170" s="1179"/>
      <c r="AB170" s="1179"/>
      <c r="AC170" s="1179"/>
      <c r="AD170" s="1179"/>
      <c r="AE170" s="1179"/>
      <c r="AF170" s="1179"/>
      <c r="AG170" s="1179"/>
      <c r="AH170" s="1179"/>
      <c r="AI170" s="1179"/>
      <c r="AJ170" s="1179"/>
      <c r="AK170" s="1179"/>
    </row>
    <row r="171" spans="1:43" s="6556" customFormat="1" ht="17.25" customHeight="1">
      <c r="A171" s="1747"/>
      <c r="C171" s="1752"/>
      <c r="D171" s="6644"/>
      <c r="E171" s="6646"/>
      <c r="F171" s="6648"/>
      <c r="G171" s="6660"/>
      <c r="H171" s="6644"/>
      <c r="I171" s="6644"/>
      <c r="J171" s="6686"/>
      <c r="K171" s="6615"/>
      <c r="L171" s="241"/>
      <c r="M171" s="242"/>
      <c r="N171" s="242" t="s">
        <v>272</v>
      </c>
      <c r="O171" s="242"/>
      <c r="P171" s="242"/>
      <c r="Q171" s="242"/>
      <c r="R171" s="242"/>
      <c r="S171" s="1753"/>
      <c r="T171" s="1753"/>
      <c r="U171" s="1753"/>
      <c r="V171" s="1753"/>
      <c r="W171" s="243"/>
      <c r="Y171" s="1179"/>
      <c r="Z171" s="1179"/>
      <c r="AA171" s="1179"/>
      <c r="AB171" s="1179"/>
      <c r="AC171" s="1179"/>
      <c r="AD171" s="1179"/>
      <c r="AE171" s="1179"/>
      <c r="AF171" s="1179"/>
      <c r="AG171" s="1179"/>
      <c r="AH171" s="1179"/>
      <c r="AI171" s="1179"/>
      <c r="AJ171" s="1179"/>
      <c r="AK171" s="1179"/>
    </row>
    <row r="172" spans="1:43" s="6556" customFormat="1" ht="17.25" customHeight="1">
      <c r="A172" s="1747"/>
      <c r="C172" s="1752"/>
      <c r="D172" s="6644"/>
      <c r="E172" s="6646"/>
      <c r="F172" s="6649"/>
      <c r="G172" s="6660"/>
      <c r="H172" s="241"/>
      <c r="I172" s="242"/>
      <c r="J172" s="242" t="s">
        <v>273</v>
      </c>
      <c r="K172" s="242"/>
      <c r="L172" s="242"/>
      <c r="M172" s="242"/>
      <c r="N172" s="242"/>
      <c r="O172" s="242"/>
      <c r="P172" s="242"/>
      <c r="Q172" s="242"/>
      <c r="R172" s="242"/>
      <c r="S172" s="1753"/>
      <c r="T172" s="1753"/>
      <c r="U172" s="1753"/>
      <c r="V172" s="1753"/>
      <c r="W172" s="243"/>
      <c r="Y172" s="1179"/>
      <c r="Z172" s="1179"/>
      <c r="AA172" s="1179"/>
      <c r="AB172" s="1179"/>
      <c r="AC172" s="1179"/>
      <c r="AD172" s="1179"/>
      <c r="AE172" s="1179"/>
      <c r="AF172" s="1179"/>
      <c r="AG172" s="1179"/>
      <c r="AH172" s="1179"/>
      <c r="AI172" s="1179"/>
      <c r="AJ172" s="1179"/>
      <c r="AK172" s="1179"/>
    </row>
    <row r="173" spans="1:43" ht="17.25" customHeight="1">
      <c r="A173" s="1758"/>
    </row>
    <row r="174" spans="1:43" s="6556" customFormat="1" ht="17.25" customHeight="1">
      <c r="A174" s="1747"/>
      <c r="C174" s="1749"/>
      <c r="D174" s="1737"/>
      <c r="E174" s="1754"/>
      <c r="F174" s="1693"/>
      <c r="G174" s="1755"/>
      <c r="H174" s="6682"/>
      <c r="I174" s="6682">
        <v>1</v>
      </c>
      <c r="J174" s="6685"/>
      <c r="K174" s="6688" t="s">
        <v>61</v>
      </c>
      <c r="L174" s="6611"/>
      <c r="M174" s="6611" t="s">
        <v>178</v>
      </c>
      <c r="N174" s="6683" t="str">
        <f>IF(Z174="","",INDEX(TERRITORY_MR_LIST,MATCH(Z174,TERRITORY_LIST_ID,0)))</f>
        <v/>
      </c>
      <c r="O174" s="6688" t="s">
        <v>61</v>
      </c>
      <c r="P174" s="6611"/>
      <c r="Q174" s="6611" t="s">
        <v>178</v>
      </c>
      <c r="R174" s="6946" t="s">
        <v>24</v>
      </c>
      <c r="S174" s="6867" t="s">
        <v>56</v>
      </c>
      <c r="T174" s="1711"/>
      <c r="U174" s="1711" t="s">
        <v>178</v>
      </c>
      <c r="V174" s="1348"/>
      <c r="W174" s="6685"/>
      <c r="Y174" s="1186"/>
      <c r="Z174" s="1186"/>
      <c r="AA174" s="1186"/>
      <c r="AB174" s="1186"/>
      <c r="AC174" s="1186"/>
      <c r="AD174" s="1186"/>
      <c r="AE174" s="1186"/>
      <c r="AF174" s="1186"/>
      <c r="AG174" s="1186"/>
      <c r="AH174" s="1186"/>
      <c r="AI174" s="1186"/>
      <c r="AJ174" s="1186"/>
      <c r="AK174" s="1186"/>
      <c r="AL174" s="1751"/>
      <c r="AM174" s="1751"/>
      <c r="AN174" s="1186"/>
      <c r="AO174" s="1186"/>
      <c r="AP174" s="1186"/>
      <c r="AQ174" s="1186"/>
    </row>
    <row r="175" spans="1:43" s="6556" customFormat="1" ht="17.25" customHeight="1">
      <c r="A175" s="1747"/>
      <c r="C175" s="1752"/>
      <c r="D175" s="1737"/>
      <c r="E175" s="1754"/>
      <c r="F175" s="1693"/>
      <c r="G175" s="1755"/>
      <c r="H175" s="6682"/>
      <c r="I175" s="6682"/>
      <c r="J175" s="6685"/>
      <c r="K175" s="6689"/>
      <c r="L175" s="6611"/>
      <c r="M175" s="6611"/>
      <c r="N175" s="6683"/>
      <c r="O175" s="6689"/>
      <c r="P175" s="6611"/>
      <c r="Q175" s="6611"/>
      <c r="R175" s="6946"/>
      <c r="S175" s="6867"/>
      <c r="T175" s="1349"/>
      <c r="U175" s="1350"/>
      <c r="V175" s="1350"/>
      <c r="W175" s="6685"/>
      <c r="Y175" s="1179"/>
      <c r="Z175" s="1179"/>
      <c r="AA175" s="1179"/>
      <c r="AB175" s="1179"/>
      <c r="AC175" s="1179"/>
      <c r="AD175" s="1179"/>
      <c r="AE175" s="1179"/>
      <c r="AF175" s="1179"/>
      <c r="AG175" s="1179"/>
      <c r="AH175" s="1179"/>
      <c r="AI175" s="1179"/>
      <c r="AJ175" s="1179"/>
      <c r="AK175" s="1179"/>
    </row>
    <row r="176" spans="1:43" s="6556" customFormat="1" ht="17.25" customHeight="1">
      <c r="A176" s="1747"/>
      <c r="C176" s="1752"/>
      <c r="D176" s="1737"/>
      <c r="E176" s="1754"/>
      <c r="F176" s="1693"/>
      <c r="G176" s="1755"/>
      <c r="H176" s="6644"/>
      <c r="I176" s="6644"/>
      <c r="J176" s="6686"/>
      <c r="K176" s="6689"/>
      <c r="L176" s="6644"/>
      <c r="M176" s="6644"/>
      <c r="N176" s="6684"/>
      <c r="O176" s="6615"/>
      <c r="P176" s="241"/>
      <c r="Q176" s="242"/>
      <c r="R176" s="242" t="s">
        <v>229</v>
      </c>
      <c r="S176" s="1753"/>
      <c r="T176" s="1753"/>
      <c r="U176" s="1753"/>
      <c r="V176" s="1753"/>
      <c r="W176" s="1347"/>
      <c r="Y176" s="1179"/>
      <c r="Z176" s="1179"/>
      <c r="AA176" s="1179"/>
      <c r="AB176" s="1179"/>
      <c r="AC176" s="1179"/>
      <c r="AD176" s="1179"/>
      <c r="AE176" s="1179"/>
      <c r="AF176" s="1179"/>
      <c r="AG176" s="1179"/>
      <c r="AH176" s="1179"/>
      <c r="AI176" s="1179"/>
      <c r="AJ176" s="1179"/>
      <c r="AK176" s="1179"/>
    </row>
    <row r="177" spans="1:43" s="6556" customFormat="1" ht="17.25" customHeight="1">
      <c r="A177" s="1747"/>
      <c r="C177" s="1752"/>
      <c r="D177" s="1737"/>
      <c r="E177" s="1754"/>
      <c r="F177" s="1693"/>
      <c r="G177" s="1755"/>
      <c r="H177" s="6644"/>
      <c r="I177" s="6644"/>
      <c r="J177" s="6686"/>
      <c r="K177" s="6615"/>
      <c r="L177" s="241"/>
      <c r="M177" s="242"/>
      <c r="N177" s="242" t="s">
        <v>272</v>
      </c>
      <c r="O177" s="242"/>
      <c r="P177" s="242"/>
      <c r="Q177" s="242"/>
      <c r="R177" s="242"/>
      <c r="S177" s="1753"/>
      <c r="T177" s="1753"/>
      <c r="U177" s="1753"/>
      <c r="V177" s="1753"/>
      <c r="W177" s="243"/>
      <c r="Y177" s="1179"/>
      <c r="Z177" s="1179"/>
      <c r="AA177" s="1179"/>
      <c r="AB177" s="1179"/>
      <c r="AC177" s="1179"/>
      <c r="AD177" s="1179"/>
      <c r="AE177" s="1179"/>
      <c r="AF177" s="1179"/>
      <c r="AG177" s="1179"/>
      <c r="AH177" s="1179"/>
      <c r="AI177" s="1179"/>
      <c r="AJ177" s="1179"/>
      <c r="AK177" s="1179"/>
    </row>
    <row r="178" spans="1:43" ht="17.25" customHeight="1">
      <c r="A178" s="1758"/>
    </row>
    <row r="179" spans="1:43" s="6556" customFormat="1" ht="17.25" customHeight="1">
      <c r="A179" s="1747"/>
      <c r="C179" s="1749"/>
      <c r="D179" s="1737"/>
      <c r="E179" s="1754"/>
      <c r="F179" s="1693"/>
      <c r="G179" s="1755"/>
      <c r="H179" s="1737"/>
      <c r="I179" s="1737"/>
      <c r="J179" s="1759"/>
      <c r="K179" s="1755"/>
      <c r="L179" s="6611"/>
      <c r="M179" s="6611" t="s">
        <v>178</v>
      </c>
      <c r="N179" s="6683" t="str">
        <f>IF(Z179="","",INDEX(TERRITORY_MR_LIST,MATCH(Z179,TERRITORY_LIST_ID,0)))</f>
        <v/>
      </c>
      <c r="O179" s="6688" t="s">
        <v>61</v>
      </c>
      <c r="P179" s="6611"/>
      <c r="Q179" s="6611" t="s">
        <v>178</v>
      </c>
      <c r="R179" s="6946" t="s">
        <v>24</v>
      </c>
      <c r="S179" s="6867" t="s">
        <v>56</v>
      </c>
      <c r="T179" s="1711"/>
      <c r="U179" s="1711" t="s">
        <v>178</v>
      </c>
      <c r="V179" s="1348"/>
      <c r="W179" s="6685"/>
      <c r="Y179" s="1186"/>
      <c r="Z179" s="1186"/>
      <c r="AA179" s="1186"/>
      <c r="AB179" s="1186"/>
      <c r="AC179" s="1186"/>
      <c r="AD179" s="1186"/>
      <c r="AE179" s="1186"/>
      <c r="AF179" s="1186"/>
      <c r="AG179" s="1186"/>
      <c r="AH179" s="1186"/>
      <c r="AI179" s="1186"/>
      <c r="AJ179" s="1186"/>
      <c r="AK179" s="1186"/>
      <c r="AL179" s="1751"/>
      <c r="AM179" s="1751"/>
      <c r="AN179" s="1186"/>
      <c r="AO179" s="1186"/>
      <c r="AP179" s="1186"/>
      <c r="AQ179" s="1186"/>
    </row>
    <row r="180" spans="1:43" s="6556" customFormat="1" ht="17.25" customHeight="1">
      <c r="A180" s="1747"/>
      <c r="C180" s="1752"/>
      <c r="D180" s="1737"/>
      <c r="E180" s="1754"/>
      <c r="F180" s="1693"/>
      <c r="G180" s="1755"/>
      <c r="H180" s="1737"/>
      <c r="I180" s="1737"/>
      <c r="J180" s="1759"/>
      <c r="K180" s="1755"/>
      <c r="L180" s="6611"/>
      <c r="M180" s="6611"/>
      <c r="N180" s="6683"/>
      <c r="O180" s="6689"/>
      <c r="P180" s="6611"/>
      <c r="Q180" s="6611"/>
      <c r="R180" s="6946"/>
      <c r="S180" s="6867"/>
      <c r="T180" s="1349"/>
      <c r="U180" s="1350"/>
      <c r="V180" s="1350"/>
      <c r="W180" s="6685"/>
      <c r="Y180" s="1179"/>
      <c r="Z180" s="1179"/>
      <c r="AA180" s="1179"/>
      <c r="AB180" s="1179"/>
      <c r="AC180" s="1179"/>
      <c r="AD180" s="1179"/>
      <c r="AE180" s="1179"/>
      <c r="AF180" s="1179"/>
      <c r="AG180" s="1179"/>
      <c r="AH180" s="1179"/>
      <c r="AI180" s="1179"/>
      <c r="AJ180" s="1179"/>
      <c r="AK180" s="1179"/>
    </row>
    <row r="181" spans="1:43" s="6556" customFormat="1" ht="17.25" customHeight="1">
      <c r="A181" s="1747"/>
      <c r="C181" s="1752"/>
      <c r="D181" s="1737"/>
      <c r="E181" s="1754"/>
      <c r="F181" s="1693"/>
      <c r="G181" s="1755"/>
      <c r="H181" s="1737"/>
      <c r="I181" s="1737"/>
      <c r="J181" s="1759"/>
      <c r="K181" s="1755"/>
      <c r="L181" s="6644"/>
      <c r="M181" s="6644"/>
      <c r="N181" s="6684"/>
      <c r="O181" s="6615"/>
      <c r="P181" s="241"/>
      <c r="Q181" s="242"/>
      <c r="R181" s="242" t="s">
        <v>229</v>
      </c>
      <c r="S181" s="1753"/>
      <c r="T181" s="1753"/>
      <c r="U181" s="1753"/>
      <c r="V181" s="1753"/>
      <c r="W181" s="1347"/>
      <c r="Y181" s="1179"/>
      <c r="Z181" s="1179"/>
      <c r="AA181" s="1179"/>
      <c r="AB181" s="1179"/>
      <c r="AC181" s="1179"/>
      <c r="AD181" s="1179"/>
      <c r="AE181" s="1179"/>
      <c r="AF181" s="1179"/>
      <c r="AG181" s="1179"/>
      <c r="AH181" s="1179"/>
      <c r="AI181" s="1179"/>
      <c r="AJ181" s="1179"/>
      <c r="AK181" s="1179"/>
    </row>
    <row r="182" spans="1:43" ht="17.25" customHeight="1">
      <c r="A182" s="1758"/>
    </row>
    <row r="183" spans="1:43" s="6556" customFormat="1" ht="17.25" customHeight="1">
      <c r="A183" s="1747"/>
      <c r="C183" s="1749"/>
      <c r="D183" s="1737"/>
      <c r="E183" s="1754"/>
      <c r="F183" s="1693"/>
      <c r="G183" s="1755"/>
      <c r="H183" s="1737"/>
      <c r="I183" s="1737"/>
      <c r="J183" s="1759"/>
      <c r="K183" s="1755"/>
      <c r="L183" s="1737"/>
      <c r="M183" s="1737"/>
      <c r="N183" s="1757"/>
      <c r="O183" s="1696"/>
      <c r="P183" s="6611"/>
      <c r="Q183" s="6611" t="s">
        <v>178</v>
      </c>
      <c r="R183" s="6946" t="s">
        <v>24</v>
      </c>
      <c r="S183" s="6867" t="s">
        <v>56</v>
      </c>
      <c r="T183" s="1711"/>
      <c r="U183" s="1711" t="s">
        <v>178</v>
      </c>
      <c r="V183" s="1348"/>
      <c r="W183" s="6685"/>
      <c r="Y183" s="1186"/>
      <c r="Z183" s="1186"/>
      <c r="AA183" s="1186"/>
      <c r="AB183" s="1186"/>
      <c r="AC183" s="1186"/>
      <c r="AD183" s="1186"/>
      <c r="AE183" s="1186"/>
      <c r="AF183" s="1186"/>
      <c r="AG183" s="1186"/>
      <c r="AH183" s="1186"/>
      <c r="AI183" s="1186"/>
      <c r="AJ183" s="1186"/>
      <c r="AK183" s="1186"/>
      <c r="AL183" s="1751"/>
      <c r="AM183" s="1751"/>
      <c r="AN183" s="1186"/>
      <c r="AO183" s="1186"/>
      <c r="AP183" s="1186"/>
      <c r="AQ183" s="1186"/>
    </row>
    <row r="184" spans="1:43" s="6556" customFormat="1" ht="17.25" customHeight="1">
      <c r="A184" s="1747"/>
      <c r="C184" s="1752"/>
      <c r="D184" s="1737"/>
      <c r="E184" s="1754"/>
      <c r="F184" s="1693"/>
      <c r="G184" s="1755"/>
      <c r="H184" s="1737"/>
      <c r="I184" s="1737"/>
      <c r="J184" s="1759"/>
      <c r="K184" s="1755"/>
      <c r="L184" s="1737"/>
      <c r="M184" s="1737"/>
      <c r="N184" s="1757"/>
      <c r="O184" s="1696"/>
      <c r="P184" s="6611"/>
      <c r="Q184" s="6611"/>
      <c r="R184" s="6946"/>
      <c r="S184" s="6867"/>
      <c r="T184" s="1349"/>
      <c r="U184" s="1350"/>
      <c r="V184" s="1350"/>
      <c r="W184" s="6685"/>
      <c r="Y184" s="1179"/>
      <c r="Z184" s="1179"/>
      <c r="AA184" s="1179"/>
      <c r="AB184" s="1179"/>
      <c r="AC184" s="1179"/>
      <c r="AD184" s="1179"/>
      <c r="AE184" s="1179"/>
      <c r="AF184" s="1179"/>
      <c r="AG184" s="1179"/>
      <c r="AH184" s="1179"/>
      <c r="AI184" s="1179"/>
      <c r="AJ184" s="1179"/>
      <c r="AK184" s="1179"/>
    </row>
    <row r="185" spans="1:43" ht="17.25" customHeight="1">
      <c r="A185" s="1758"/>
    </row>
    <row r="186" spans="1:43" ht="16.5" customHeight="1">
      <c r="A186" s="1747"/>
      <c r="B186" s="1748"/>
      <c r="C186" s="1752"/>
      <c r="D186" s="6682"/>
      <c r="E186" s="6697"/>
      <c r="F186" s="6697"/>
      <c r="G186" s="6629"/>
      <c r="H186" s="6650"/>
      <c r="I186" s="6652"/>
      <c r="J186" s="6654"/>
      <c r="K186" s="6637"/>
      <c r="L186" s="6637"/>
      <c r="M186" s="6637"/>
      <c r="N186" s="6639"/>
      <c r="O186" s="6637"/>
      <c r="P186" s="6637"/>
      <c r="Q186" s="6637"/>
      <c r="R186" s="6642"/>
      <c r="S186" s="6637"/>
      <c r="T186" s="1692"/>
      <c r="U186" s="1692"/>
      <c r="V186" s="1760"/>
      <c r="W186" s="1215"/>
    </row>
    <row r="187" spans="1:43" ht="16.5" customHeight="1">
      <c r="A187" s="1747"/>
      <c r="B187" s="1748"/>
      <c r="C187" s="1752"/>
      <c r="D187" s="6682"/>
      <c r="E187" s="6697"/>
      <c r="F187" s="6697"/>
      <c r="G187" s="6629"/>
      <c r="H187" s="6651"/>
      <c r="I187" s="6653"/>
      <c r="J187" s="6655"/>
      <c r="K187" s="6638"/>
      <c r="L187" s="6638"/>
      <c r="M187" s="6638"/>
      <c r="N187" s="6640"/>
      <c r="O187" s="6638"/>
      <c r="P187" s="6638"/>
      <c r="Q187" s="6638"/>
      <c r="R187" s="6641"/>
      <c r="S187" s="6638"/>
      <c r="T187" s="1216"/>
      <c r="U187" s="1216"/>
      <c r="V187" s="1216"/>
      <c r="W187" s="1217"/>
    </row>
    <row r="188" spans="1:43" ht="17.25" customHeight="1">
      <c r="A188" s="1747"/>
      <c r="B188" s="1748"/>
      <c r="C188" s="1752"/>
      <c r="D188" s="6682"/>
      <c r="E188" s="6697"/>
      <c r="F188" s="6697"/>
      <c r="G188" s="6629"/>
      <c r="H188" s="6651"/>
      <c r="I188" s="6653"/>
      <c r="J188" s="6656"/>
      <c r="K188" s="6638"/>
      <c r="L188" s="6638"/>
      <c r="M188" s="6638"/>
      <c r="N188" s="6641"/>
      <c r="O188" s="6638"/>
      <c r="P188" s="1695"/>
      <c r="Q188" s="1216"/>
      <c r="R188" s="1216"/>
      <c r="S188" s="1761"/>
      <c r="T188" s="1761"/>
      <c r="U188" s="1761"/>
      <c r="V188" s="1761"/>
      <c r="W188" s="1217"/>
    </row>
    <row r="189" spans="1:43" ht="17.25" customHeight="1">
      <c r="A189" s="1747"/>
      <c r="B189" s="1748"/>
      <c r="C189" s="1752"/>
      <c r="D189" s="6682"/>
      <c r="E189" s="6697"/>
      <c r="F189" s="6697"/>
      <c r="G189" s="6629"/>
      <c r="H189" s="6651"/>
      <c r="I189" s="6653"/>
      <c r="J189" s="6656"/>
      <c r="K189" s="6638"/>
      <c r="L189" s="1216"/>
      <c r="M189" s="1216"/>
      <c r="N189" s="1216"/>
      <c r="O189" s="1216"/>
      <c r="P189" s="1216"/>
      <c r="Q189" s="1216"/>
      <c r="R189" s="1216"/>
      <c r="S189" s="1761"/>
      <c r="T189" s="1761"/>
      <c r="U189" s="1761"/>
      <c r="V189" s="1761"/>
      <c r="W189" s="1217"/>
    </row>
    <row r="190" spans="1:43" ht="17.25" customHeight="1">
      <c r="A190" s="1747"/>
      <c r="B190" s="1748"/>
      <c r="C190" s="1752"/>
      <c r="D190" s="6682"/>
      <c r="E190" s="6697"/>
      <c r="F190" s="6697"/>
      <c r="G190" s="6629"/>
      <c r="H190" s="1218"/>
      <c r="I190" s="1219"/>
      <c r="J190" s="1219"/>
      <c r="K190" s="1219"/>
      <c r="L190" s="1219"/>
      <c r="M190" s="1219"/>
      <c r="N190" s="1219"/>
      <c r="O190" s="1219"/>
      <c r="P190" s="1219"/>
      <c r="Q190" s="1219"/>
      <c r="R190" s="1219"/>
      <c r="S190" s="1762"/>
      <c r="T190" s="1762"/>
      <c r="U190" s="1762"/>
      <c r="V190" s="1762"/>
      <c r="W190" s="1221"/>
    </row>
    <row r="192" spans="1:43" s="6553" customFormat="1" ht="17.25" customHeight="1">
      <c r="A192" s="1724" t="s">
        <v>1291</v>
      </c>
    </row>
    <row r="193" spans="1:63" ht="17.25" customHeight="1">
      <c r="G193" s="1746"/>
      <c r="H193" s="1746"/>
      <c r="I193" s="1746"/>
      <c r="M193" s="1742"/>
    </row>
    <row r="194" spans="1:63" s="1828" customFormat="1" ht="15" customHeight="1">
      <c r="D194" s="6962"/>
      <c r="E194" s="6712"/>
      <c r="F194" s="6712"/>
      <c r="G194" s="6688"/>
      <c r="H194" s="1480"/>
      <c r="I194" s="6966">
        <v>1</v>
      </c>
      <c r="J194" s="6685"/>
      <c r="K194" s="1495"/>
      <c r="L194" s="6688" t="s">
        <v>61</v>
      </c>
      <c r="M194" s="6688" t="s">
        <v>61</v>
      </c>
      <c r="N194" s="1480"/>
      <c r="O194" s="6611" t="s">
        <v>178</v>
      </c>
      <c r="P194" s="6956"/>
      <c r="Q194" s="1496"/>
      <c r="R194" s="6688" t="s">
        <v>61</v>
      </c>
      <c r="S194" s="6688" t="s">
        <v>61</v>
      </c>
      <c r="T194" s="1763"/>
      <c r="U194" s="6611" t="s">
        <v>178</v>
      </c>
      <c r="V194" s="6963" t="str">
        <f>IF(AK194="","",INDEX(TERRITORY_MR_LIST,MATCH(AK194,TERRITORY_LIST_ID,0)))</f>
        <v/>
      </c>
      <c r="W194" s="1497"/>
      <c r="X194" s="6688" t="s">
        <v>61</v>
      </c>
      <c r="Y194" s="6688" t="s">
        <v>56</v>
      </c>
      <c r="Z194" s="1480"/>
      <c r="AA194" s="6611" t="s">
        <v>178</v>
      </c>
      <c r="AB194" s="6965"/>
      <c r="AC194" s="1498"/>
      <c r="AD194" s="6688" t="s">
        <v>61</v>
      </c>
      <c r="AE194" s="6688" t="s">
        <v>56</v>
      </c>
      <c r="AF194" s="1478"/>
      <c r="AG194" s="1720" t="s">
        <v>178</v>
      </c>
      <c r="AH194" s="1488"/>
      <c r="AI194" s="1710"/>
    </row>
    <row r="195" spans="1:63" s="1828" customFormat="1" ht="15" customHeight="1">
      <c r="D195" s="6962"/>
      <c r="E195" s="6712"/>
      <c r="F195" s="6712"/>
      <c r="G195" s="6689"/>
      <c r="H195" s="1480"/>
      <c r="I195" s="6966"/>
      <c r="J195" s="6685"/>
      <c r="K195" s="1479"/>
      <c r="L195" s="6689"/>
      <c r="M195" s="6689"/>
      <c r="N195" s="1480"/>
      <c r="O195" s="6611"/>
      <c r="P195" s="6956"/>
      <c r="Q195" s="1476"/>
      <c r="R195" s="6689"/>
      <c r="S195" s="6689"/>
      <c r="T195" s="1763"/>
      <c r="U195" s="6611"/>
      <c r="V195" s="6964"/>
      <c r="W195" s="1477"/>
      <c r="X195" s="6689"/>
      <c r="Y195" s="6689"/>
      <c r="Z195" s="1480"/>
      <c r="AA195" s="6611"/>
      <c r="AB195" s="6940"/>
      <c r="AC195" s="1481"/>
      <c r="AD195" s="6615"/>
      <c r="AE195" s="6615"/>
      <c r="AF195" s="1482"/>
      <c r="AG195" s="1483"/>
      <c r="AH195" s="6957" t="s">
        <v>1292</v>
      </c>
      <c r="AI195" s="6958"/>
    </row>
    <row r="196" spans="1:63" s="1828" customFormat="1" ht="15" customHeight="1">
      <c r="D196" s="6962"/>
      <c r="E196" s="6712"/>
      <c r="F196" s="6712"/>
      <c r="G196" s="6689"/>
      <c r="H196" s="1480"/>
      <c r="I196" s="6966"/>
      <c r="J196" s="6685"/>
      <c r="K196" s="1479"/>
      <c r="L196" s="6689"/>
      <c r="M196" s="6689"/>
      <c r="N196" s="1480"/>
      <c r="O196" s="6611"/>
      <c r="P196" s="6956"/>
      <c r="Q196" s="1476"/>
      <c r="R196" s="6689"/>
      <c r="S196" s="6689"/>
      <c r="T196" s="1763"/>
      <c r="U196" s="6611"/>
      <c r="V196" s="6964"/>
      <c r="W196" s="1477"/>
      <c r="X196" s="6689"/>
      <c r="Y196" s="6689"/>
      <c r="Z196" s="1519"/>
      <c r="AA196" s="1485"/>
      <c r="AB196" s="6959" t="s">
        <v>1293</v>
      </c>
      <c r="AC196" s="6959"/>
      <c r="AD196" s="6959"/>
      <c r="AE196" s="6959"/>
      <c r="AF196" s="6959"/>
      <c r="AG196" s="6959"/>
      <c r="AH196" s="6959"/>
      <c r="AI196" s="6960"/>
    </row>
    <row r="197" spans="1:63" s="1828" customFormat="1" ht="15" customHeight="1">
      <c r="D197" s="6962"/>
      <c r="E197" s="6712"/>
      <c r="F197" s="6712"/>
      <c r="G197" s="6689"/>
      <c r="H197" s="1480"/>
      <c r="I197" s="6966"/>
      <c r="J197" s="6685"/>
      <c r="K197" s="1479"/>
      <c r="L197" s="6689"/>
      <c r="M197" s="6689"/>
      <c r="N197" s="1480"/>
      <c r="O197" s="6611"/>
      <c r="P197" s="6961"/>
      <c r="Q197" s="1476"/>
      <c r="R197" s="6689"/>
      <c r="S197" s="6689"/>
      <c r="T197" s="1764"/>
      <c r="U197" s="1520"/>
      <c r="V197" s="6957" t="s">
        <v>172</v>
      </c>
      <c r="W197" s="6957"/>
      <c r="X197" s="6957"/>
      <c r="Y197" s="6957"/>
      <c r="Z197" s="6957"/>
      <c r="AA197" s="6957"/>
      <c r="AB197" s="6957"/>
      <c r="AC197" s="6957"/>
      <c r="AD197" s="6957"/>
      <c r="AE197" s="6957"/>
      <c r="AF197" s="6957"/>
      <c r="AG197" s="6957"/>
      <c r="AH197" s="6957"/>
      <c r="AI197" s="6958"/>
    </row>
    <row r="198" spans="1:63" s="1828" customFormat="1" ht="11.25" customHeight="1">
      <c r="D198" s="6962"/>
      <c r="E198" s="6712"/>
      <c r="F198" s="6712"/>
      <c r="G198" s="6689"/>
      <c r="H198" s="1484"/>
      <c r="I198" s="6966"/>
      <c r="J198" s="6967"/>
      <c r="K198" s="1479"/>
      <c r="L198" s="6689"/>
      <c r="M198" s="6689"/>
      <c r="N198" s="1484"/>
      <c r="O198" s="1485"/>
      <c r="P198" s="6957" t="s">
        <v>1294</v>
      </c>
      <c r="Q198" s="6957"/>
      <c r="R198" s="6957"/>
      <c r="S198" s="6957"/>
      <c r="T198" s="6957"/>
      <c r="U198" s="6957"/>
      <c r="V198" s="6957"/>
      <c r="W198" s="6957"/>
      <c r="X198" s="6957"/>
      <c r="Y198" s="6957"/>
      <c r="Z198" s="6957"/>
      <c r="AA198" s="6957"/>
      <c r="AB198" s="6957"/>
      <c r="AC198" s="6957"/>
      <c r="AD198" s="6957"/>
      <c r="AE198" s="6957"/>
      <c r="AF198" s="6957"/>
      <c r="AG198" s="6957"/>
      <c r="AH198" s="6957"/>
      <c r="AI198" s="6958"/>
    </row>
    <row r="199" spans="1:63" s="2039" customFormat="1" ht="11.25" customHeight="1">
      <c r="D199" s="6962"/>
      <c r="E199" s="6712"/>
      <c r="F199" s="6712"/>
      <c r="G199" s="6615"/>
      <c r="H199" s="1486"/>
      <c r="I199" s="1487"/>
      <c r="J199" s="6957" t="s">
        <v>273</v>
      </c>
      <c r="K199" s="6957"/>
      <c r="L199" s="6957"/>
      <c r="M199" s="6957"/>
      <c r="N199" s="6957"/>
      <c r="O199" s="6957"/>
      <c r="P199" s="6957"/>
      <c r="Q199" s="6957"/>
      <c r="R199" s="6957"/>
      <c r="S199" s="6957"/>
      <c r="T199" s="6957"/>
      <c r="U199" s="6957"/>
      <c r="V199" s="6957"/>
      <c r="W199" s="6957"/>
      <c r="X199" s="6957"/>
      <c r="Y199" s="6957"/>
      <c r="Z199" s="6957"/>
      <c r="AA199" s="6957"/>
      <c r="AB199" s="6957"/>
      <c r="AC199" s="6957"/>
      <c r="AD199" s="6957"/>
      <c r="AE199" s="6957"/>
      <c r="AF199" s="6957"/>
      <c r="AG199" s="6957"/>
      <c r="AH199" s="6957"/>
      <c r="AI199" s="6958"/>
      <c r="BK199" s="1490"/>
    </row>
    <row r="200" spans="1:63" ht="17.25" customHeight="1">
      <c r="G200" s="1746"/>
      <c r="I200" s="1746"/>
      <c r="J200" s="1746"/>
      <c r="N200" s="1742"/>
    </row>
    <row r="201" spans="1:63" s="1828" customFormat="1" ht="15" customHeight="1">
      <c r="D201" s="6962"/>
      <c r="E201" s="6712"/>
      <c r="F201" s="6712"/>
      <c r="G201" s="6697"/>
      <c r="H201" s="1515"/>
      <c r="I201" s="6699"/>
      <c r="J201" s="6654"/>
      <c r="K201" s="1694"/>
      <c r="L201" s="6637"/>
      <c r="M201" s="6637"/>
      <c r="N201" s="1500"/>
      <c r="O201" s="6637"/>
      <c r="P201" s="6654"/>
      <c r="Q201" s="1698"/>
      <c r="R201" s="6637"/>
      <c r="S201" s="6637"/>
      <c r="T201" s="1765"/>
      <c r="U201" s="6637"/>
      <c r="V201" s="6654"/>
      <c r="W201" s="1503"/>
      <c r="X201" s="6637"/>
      <c r="Y201" s="6637"/>
      <c r="Z201" s="1500"/>
      <c r="AA201" s="6637"/>
      <c r="AB201" s="6654"/>
      <c r="AC201" s="1504"/>
      <c r="AD201" s="6637"/>
      <c r="AE201" s="6637"/>
      <c r="AF201" s="1692"/>
      <c r="AG201" s="1692"/>
      <c r="AH201" s="1505"/>
      <c r="AI201" s="1215"/>
    </row>
    <row r="202" spans="1:63" s="1828" customFormat="1" ht="15" customHeight="1">
      <c r="D202" s="6962"/>
      <c r="E202" s="6712"/>
      <c r="F202" s="6712"/>
      <c r="G202" s="6697"/>
      <c r="H202" s="1516"/>
      <c r="I202" s="6700"/>
      <c r="J202" s="6655"/>
      <c r="K202" s="1524"/>
      <c r="L202" s="6638"/>
      <c r="M202" s="6638"/>
      <c r="N202" s="1506"/>
      <c r="O202" s="6638"/>
      <c r="P202" s="6655"/>
      <c r="Q202" s="1699"/>
      <c r="R202" s="6638"/>
      <c r="S202" s="6638"/>
      <c r="T202" s="1766"/>
      <c r="U202" s="6638"/>
      <c r="V202" s="6655"/>
      <c r="W202" s="1509"/>
      <c r="X202" s="6638"/>
      <c r="Y202" s="6638"/>
      <c r="Z202" s="1506"/>
      <c r="AA202" s="6638"/>
      <c r="AB202" s="6655"/>
      <c r="AC202" s="1510"/>
      <c r="AD202" s="6638"/>
      <c r="AE202" s="6638"/>
      <c r="AF202" s="1697"/>
      <c r="AG202" s="1697"/>
      <c r="AH202" s="6695"/>
      <c r="AI202" s="6696"/>
    </row>
    <row r="203" spans="1:63" s="1828" customFormat="1" ht="15" customHeight="1">
      <c r="D203" s="6962"/>
      <c r="E203" s="6712"/>
      <c r="F203" s="6712"/>
      <c r="G203" s="6697"/>
      <c r="H203" s="1516"/>
      <c r="I203" s="6700"/>
      <c r="J203" s="6655"/>
      <c r="K203" s="1524"/>
      <c r="L203" s="6638"/>
      <c r="M203" s="6638"/>
      <c r="N203" s="1506"/>
      <c r="O203" s="6638"/>
      <c r="P203" s="6655"/>
      <c r="Q203" s="1699"/>
      <c r="R203" s="6638"/>
      <c r="S203" s="6638"/>
      <c r="T203" s="1766"/>
      <c r="U203" s="6638"/>
      <c r="V203" s="6655"/>
      <c r="W203" s="1509"/>
      <c r="X203" s="6638"/>
      <c r="Y203" s="6638"/>
      <c r="Z203" s="1695"/>
      <c r="AA203" s="1697"/>
      <c r="AB203" s="6695"/>
      <c r="AC203" s="6695"/>
      <c r="AD203" s="6695"/>
      <c r="AE203" s="6695"/>
      <c r="AF203" s="6695"/>
      <c r="AG203" s="6695"/>
      <c r="AH203" s="6695"/>
      <c r="AI203" s="6696"/>
    </row>
    <row r="204" spans="1:63" s="1828" customFormat="1" ht="15" customHeight="1">
      <c r="D204" s="6962"/>
      <c r="E204" s="6712"/>
      <c r="F204" s="6712"/>
      <c r="G204" s="6697"/>
      <c r="H204" s="1516"/>
      <c r="I204" s="6700"/>
      <c r="J204" s="6655"/>
      <c r="K204" s="1524"/>
      <c r="L204" s="6638"/>
      <c r="M204" s="6638"/>
      <c r="N204" s="1506"/>
      <c r="O204" s="6638"/>
      <c r="P204" s="6655"/>
      <c r="Q204" s="1699"/>
      <c r="R204" s="6638"/>
      <c r="S204" s="6638"/>
      <c r="T204" s="1767"/>
      <c r="U204" s="1513"/>
      <c r="V204" s="6695"/>
      <c r="W204" s="6695"/>
      <c r="X204" s="6695"/>
      <c r="Y204" s="6695"/>
      <c r="Z204" s="6695"/>
      <c r="AA204" s="6695"/>
      <c r="AB204" s="6695"/>
      <c r="AC204" s="6695"/>
      <c r="AD204" s="6695"/>
      <c r="AE204" s="6695"/>
      <c r="AF204" s="6695"/>
      <c r="AG204" s="6695"/>
      <c r="AH204" s="6695"/>
      <c r="AI204" s="6696"/>
    </row>
    <row r="205" spans="1:63" s="1828" customFormat="1" ht="11.25" customHeight="1">
      <c r="D205" s="6962"/>
      <c r="E205" s="6712"/>
      <c r="F205" s="6712"/>
      <c r="G205" s="6697"/>
      <c r="H205" s="1517"/>
      <c r="I205" s="6700"/>
      <c r="J205" s="6655"/>
      <c r="K205" s="1524"/>
      <c r="L205" s="6638"/>
      <c r="M205" s="6638"/>
      <c r="N205" s="1697"/>
      <c r="O205" s="1697"/>
      <c r="P205" s="6695"/>
      <c r="Q205" s="6695"/>
      <c r="R205" s="6695"/>
      <c r="S205" s="6695"/>
      <c r="T205" s="6695"/>
      <c r="U205" s="6695"/>
      <c r="V205" s="6695"/>
      <c r="W205" s="6695"/>
      <c r="X205" s="6695"/>
      <c r="Y205" s="6695"/>
      <c r="Z205" s="6695"/>
      <c r="AA205" s="6695"/>
      <c r="AB205" s="6695"/>
      <c r="AC205" s="6695"/>
      <c r="AD205" s="6695"/>
      <c r="AE205" s="6695"/>
      <c r="AF205" s="6695"/>
      <c r="AG205" s="6695"/>
      <c r="AH205" s="6695"/>
      <c r="AI205" s="6696"/>
    </row>
    <row r="206" spans="1:63" s="2039" customFormat="1" ht="11.25" customHeight="1">
      <c r="D206" s="6962"/>
      <c r="E206" s="6712"/>
      <c r="F206" s="6712"/>
      <c r="G206" s="6702"/>
      <c r="H206" s="1514"/>
      <c r="I206" s="1518"/>
      <c r="J206" s="6703"/>
      <c r="K206" s="6703"/>
      <c r="L206" s="6703"/>
      <c r="M206" s="6703"/>
      <c r="N206" s="6703"/>
      <c r="O206" s="6703"/>
      <c r="P206" s="6703"/>
      <c r="Q206" s="6703"/>
      <c r="R206" s="6703"/>
      <c r="S206" s="6703"/>
      <c r="T206" s="6703"/>
      <c r="U206" s="6703"/>
      <c r="V206" s="6703"/>
      <c r="W206" s="6703"/>
      <c r="X206" s="6703"/>
      <c r="Y206" s="6703"/>
      <c r="Z206" s="6703"/>
      <c r="AA206" s="6703"/>
      <c r="AB206" s="6703"/>
      <c r="AC206" s="6703"/>
      <c r="AD206" s="6703"/>
      <c r="AE206" s="6703"/>
      <c r="AF206" s="6703"/>
      <c r="AG206" s="6703"/>
      <c r="AH206" s="6703"/>
      <c r="AI206" s="6704"/>
      <c r="BK206" s="1490"/>
    </row>
    <row r="207" spans="1:63" ht="17.25" customHeight="1">
      <c r="A207" s="1758"/>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6561" customWidth="1"/>
    <col min="2" max="2" width="11" style="6562" customWidth="1"/>
    <col min="3" max="3" width="9.140625" style="6562"/>
    <col min="4" max="4" width="26.5703125" style="6562" customWidth="1"/>
    <col min="5" max="5" width="27.7109375" style="6559" customWidth="1"/>
    <col min="6" max="6" width="23.5703125" style="6559" customWidth="1"/>
    <col min="7" max="7" width="31.42578125" style="6559" customWidth="1"/>
    <col min="8" max="8" width="40.85546875" style="6559" customWidth="1"/>
    <col min="9" max="9" width="14.5703125" style="6559" customWidth="1"/>
    <col min="10" max="10" width="26.85546875" style="6559" customWidth="1"/>
    <col min="11" max="11" width="50" style="6559" customWidth="1"/>
    <col min="12" max="12" width="52.42578125" style="6559" customWidth="1"/>
    <col min="13" max="13" width="10.7109375" style="6559" customWidth="1"/>
    <col min="14" max="14" width="55.140625" style="6559" customWidth="1"/>
    <col min="15" max="15" width="31.85546875" style="6559" customWidth="1"/>
    <col min="16" max="16" width="23.85546875" style="6559" customWidth="1"/>
    <col min="17" max="17" width="46.5703125" style="6559" customWidth="1"/>
    <col min="18" max="18" width="24" style="6559" customWidth="1"/>
    <col min="19" max="19" width="20.5703125" style="6559" customWidth="1"/>
    <col min="20" max="20" width="22" style="6559" customWidth="1"/>
    <col min="21" max="22" width="26.42578125" style="6559" customWidth="1"/>
    <col min="23" max="23" width="8.28515625" style="6559" hidden="1" customWidth="1"/>
    <col min="24" max="24" width="59.7109375" style="6559" customWidth="1"/>
    <col min="25" max="25" width="49.140625" style="6559" customWidth="1"/>
    <col min="26" max="26" width="11.140625" style="6559" customWidth="1"/>
    <col min="27" max="30" width="29" style="6559" customWidth="1"/>
    <col min="31" max="31" width="9.140625" style="6559"/>
    <col min="32" max="32" width="34.7109375" style="6559" customWidth="1"/>
    <col min="33" max="33" width="9.140625" style="6559"/>
    <col min="34" max="35" width="34.42578125" style="6559" customWidth="1"/>
    <col min="36" max="36" width="9.140625" style="6559"/>
    <col min="37" max="37" width="24.5703125" style="6559" customWidth="1"/>
    <col min="38" max="38" width="9.140625" style="6559"/>
    <col min="39" max="39" width="26.140625" style="6559" customWidth="1"/>
    <col min="40" max="40" width="1.7109375" style="6559" customWidth="1"/>
    <col min="41" max="41" width="9.140625" style="6559"/>
    <col min="42" max="43" width="47.85546875" style="6559" customWidth="1"/>
    <col min="44" max="44" width="1.7109375" style="6559" customWidth="1"/>
    <col min="45" max="45" width="21.42578125" style="6559" customWidth="1"/>
    <col min="46" max="46" width="1.7109375" style="6559" customWidth="1"/>
    <col min="47" max="47" width="31.28515625" style="6559" customWidth="1"/>
    <col min="48" max="48" width="1.7109375" style="6559" customWidth="1"/>
    <col min="49" max="50" width="9.140625" style="6563"/>
    <col min="51" max="51" width="3.7109375" style="6559" customWidth="1"/>
    <col min="52" max="52" width="55" style="6559" customWidth="1"/>
    <col min="53" max="53" width="9.140625" style="6559"/>
    <col min="54" max="54" width="35.140625" style="6559" customWidth="1"/>
    <col min="55" max="55" width="9.140625" style="6559"/>
    <col min="56" max="56" width="1.7109375" style="6559" customWidth="1"/>
    <col min="57" max="57" width="12.5703125" style="6564" customWidth="1"/>
    <col min="58" max="58" width="14.28515625" style="6564" customWidth="1"/>
    <col min="59" max="59" width="30.7109375" style="6559" customWidth="1"/>
    <col min="60" max="60" width="40.7109375" style="6558" customWidth="1"/>
    <col min="61" max="61" width="15" style="6558" customWidth="1"/>
    <col min="62" max="62" width="40.7109375" style="6558" customWidth="1"/>
    <col min="63" max="63" width="2.7109375" style="6558" customWidth="1"/>
    <col min="64" max="64" width="44.7109375" style="6558" customWidth="1"/>
    <col min="65" max="65" width="2.7109375" style="6558" customWidth="1"/>
    <col min="66" max="66" width="40.7109375" style="6558" customWidth="1"/>
    <col min="67" max="68" width="9.140625" style="6559"/>
    <col min="69" max="69" width="18.140625" style="6559" customWidth="1"/>
    <col min="70" max="70" width="57.85546875" style="6559" customWidth="1"/>
    <col min="71" max="71" width="1.7109375" style="6560" customWidth="1"/>
    <col min="72" max="72" width="22.5703125" style="6559" customWidth="1"/>
    <col min="73" max="73" width="57.85546875" style="6559" customWidth="1"/>
    <col min="74" max="74" width="1.7109375" style="6559" customWidth="1"/>
    <col min="75" max="75" width="22.5703125" style="6559" customWidth="1"/>
    <col min="76" max="76" width="57.85546875" style="6559" customWidth="1"/>
    <col min="77" max="77" width="1.7109375" style="6559" customWidth="1"/>
    <col min="78" max="78" width="22.5703125" style="6559" customWidth="1"/>
    <col min="79" max="79" width="57.85546875" style="6559" customWidth="1"/>
    <col min="80" max="81" width="9.140625" style="6559"/>
    <col min="82" max="82" width="49.5703125" style="6559" customWidth="1"/>
  </cols>
  <sheetData>
    <row r="1" spans="1:79" s="6557" customFormat="1" ht="11.25" customHeight="1">
      <c r="A1" s="972" t="s">
        <v>1295</v>
      </c>
      <c r="B1" s="972" t="s">
        <v>1296</v>
      </c>
      <c r="C1" s="972" t="s">
        <v>1297</v>
      </c>
      <c r="D1" s="972" t="s">
        <v>1298</v>
      </c>
      <c r="E1" s="972" t="s">
        <v>1299</v>
      </c>
      <c r="F1" s="972" t="s">
        <v>1300</v>
      </c>
      <c r="G1" s="972" t="s">
        <v>1301</v>
      </c>
      <c r="H1" s="972" t="s">
        <v>1302</v>
      </c>
      <c r="I1" s="972" t="s">
        <v>1303</v>
      </c>
      <c r="J1" s="972" t="s">
        <v>1304</v>
      </c>
      <c r="K1" s="972" t="s">
        <v>1305</v>
      </c>
      <c r="L1" s="972" t="s">
        <v>1306</v>
      </c>
      <c r="M1" s="972"/>
      <c r="N1" s="972" t="s">
        <v>1307</v>
      </c>
      <c r="O1" s="972" t="s">
        <v>1308</v>
      </c>
      <c r="P1" s="972" t="s">
        <v>1309</v>
      </c>
      <c r="Q1" s="972" t="s">
        <v>1310</v>
      </c>
      <c r="R1" s="972" t="s">
        <v>1311</v>
      </c>
      <c r="S1" s="972" t="s">
        <v>1312</v>
      </c>
      <c r="T1" s="972" t="s">
        <v>1313</v>
      </c>
      <c r="U1" s="972" t="s">
        <v>1314</v>
      </c>
      <c r="V1" s="972"/>
      <c r="W1" s="714" t="s">
        <v>1315</v>
      </c>
      <c r="X1" s="972" t="s">
        <v>1316</v>
      </c>
      <c r="Y1" s="972" t="s">
        <v>1317</v>
      </c>
      <c r="Z1" s="972"/>
      <c r="AA1" s="972" t="s">
        <v>1318</v>
      </c>
      <c r="AB1" s="972"/>
      <c r="AC1" s="972" t="s">
        <v>1319</v>
      </c>
      <c r="AD1" s="972"/>
      <c r="AF1" s="972" t="s">
        <v>1320</v>
      </c>
      <c r="AH1" s="972" t="s">
        <v>1321</v>
      </c>
      <c r="AI1" s="972" t="s">
        <v>1322</v>
      </c>
      <c r="AK1" s="972" t="s">
        <v>1323</v>
      </c>
      <c r="AM1" s="972" t="s">
        <v>1324</v>
      </c>
      <c r="AP1" s="972" t="s">
        <v>1325</v>
      </c>
      <c r="AQ1" s="972" t="s">
        <v>1326</v>
      </c>
      <c r="AS1" s="972" t="s">
        <v>1327</v>
      </c>
      <c r="AU1" s="972" t="s">
        <v>1328</v>
      </c>
      <c r="AW1" s="972" t="s">
        <v>1329</v>
      </c>
      <c r="AX1" s="972" t="s">
        <v>1330</v>
      </c>
      <c r="AZ1" s="1052" t="s">
        <v>1331</v>
      </c>
      <c r="BB1" s="972" t="s">
        <v>1332</v>
      </c>
      <c r="BC1" s="972"/>
      <c r="BE1" s="972" t="s">
        <v>1333</v>
      </c>
      <c r="BF1" s="972" t="s">
        <v>1334</v>
      </c>
      <c r="BH1" s="974" t="s">
        <v>839</v>
      </c>
      <c r="BI1" s="975"/>
      <c r="BJ1" s="976" t="s">
        <v>1335</v>
      </c>
      <c r="BK1" s="975"/>
      <c r="BL1" s="977" t="s">
        <v>937</v>
      </c>
      <c r="BM1" s="975"/>
      <c r="BN1" s="978" t="s">
        <v>1336</v>
      </c>
      <c r="BS1" s="1341"/>
    </row>
    <row r="2" spans="1:79" ht="11.25" customHeight="1">
      <c r="A2" s="979" t="s">
        <v>1337</v>
      </c>
      <c r="B2" s="980">
        <v>2000</v>
      </c>
      <c r="C2" s="980">
        <v>2022</v>
      </c>
      <c r="D2" s="980" t="s">
        <v>61</v>
      </c>
      <c r="E2" s="981" t="s">
        <v>1338</v>
      </c>
      <c r="F2" s="981" t="s">
        <v>1339</v>
      </c>
      <c r="G2" s="981" t="s">
        <v>1340</v>
      </c>
      <c r="H2" s="982" t="s">
        <v>54</v>
      </c>
      <c r="I2" s="981" t="s">
        <v>178</v>
      </c>
      <c r="J2" s="981" t="s">
        <v>1341</v>
      </c>
      <c r="K2" s="983" t="s">
        <v>1342</v>
      </c>
      <c r="L2" s="984"/>
      <c r="M2" s="983">
        <v>1</v>
      </c>
      <c r="N2" s="1062" t="s">
        <v>1343</v>
      </c>
      <c r="O2" s="982" t="s">
        <v>567</v>
      </c>
      <c r="P2" s="985" t="s">
        <v>33</v>
      </c>
      <c r="Q2" s="986" t="s">
        <v>566</v>
      </c>
      <c r="R2" s="68" t="s">
        <v>1344</v>
      </c>
      <c r="S2" s="68" t="s">
        <v>601</v>
      </c>
      <c r="T2" s="987" t="s">
        <v>602</v>
      </c>
      <c r="U2" s="984" t="s">
        <v>1345</v>
      </c>
      <c r="V2" s="988">
        <v>1</v>
      </c>
      <c r="W2" s="989"/>
      <c r="X2" s="989" t="s">
        <v>1346</v>
      </c>
      <c r="Y2" s="980" t="s">
        <v>1347</v>
      </c>
      <c r="Z2" s="990"/>
      <c r="AA2" s="980" t="s">
        <v>275</v>
      </c>
      <c r="AB2" s="991" t="s">
        <v>275</v>
      </c>
      <c r="AC2" s="980" t="s">
        <v>1348</v>
      </c>
      <c r="AD2" s="991" t="s">
        <v>1348</v>
      </c>
      <c r="AF2" s="982" t="s">
        <v>1345</v>
      </c>
      <c r="AH2" s="981" t="s">
        <v>1349</v>
      </c>
      <c r="AI2" s="981" t="s">
        <v>1349</v>
      </c>
      <c r="AK2" s="981" t="s">
        <v>1350</v>
      </c>
      <c r="AM2" s="981" t="s">
        <v>1351</v>
      </c>
      <c r="AP2" s="992" t="s">
        <v>1346</v>
      </c>
      <c r="AQ2" s="993" t="s">
        <v>1346</v>
      </c>
      <c r="AS2" s="980" t="s">
        <v>1352</v>
      </c>
      <c r="AU2" s="1023" t="s">
        <v>1353</v>
      </c>
      <c r="AW2" s="1023" t="s">
        <v>1354</v>
      </c>
      <c r="AX2" s="1023" t="s">
        <v>1354</v>
      </c>
      <c r="AZ2" s="1023" t="s">
        <v>52</v>
      </c>
      <c r="BB2" s="1023" t="s">
        <v>1355</v>
      </c>
      <c r="BC2" s="1023" t="s">
        <v>1356</v>
      </c>
      <c r="BE2" s="1023">
        <v>2000</v>
      </c>
      <c r="BF2" s="1023" t="s">
        <v>1357</v>
      </c>
    </row>
    <row r="3" spans="1:79" ht="11.25" customHeight="1">
      <c r="A3" s="979" t="s">
        <v>1358</v>
      </c>
      <c r="B3" s="980">
        <v>2001</v>
      </c>
      <c r="C3" s="980">
        <v>2023</v>
      </c>
      <c r="D3" s="980" t="s">
        <v>56</v>
      </c>
      <c r="E3" s="981" t="s">
        <v>1359</v>
      </c>
      <c r="F3" s="981" t="s">
        <v>1360</v>
      </c>
      <c r="G3" s="981" t="s">
        <v>1361</v>
      </c>
      <c r="H3" s="982" t="s">
        <v>1362</v>
      </c>
      <c r="I3" s="981" t="s">
        <v>98</v>
      </c>
      <c r="J3" s="981" t="s">
        <v>673</v>
      </c>
      <c r="K3" s="983" t="s">
        <v>1363</v>
      </c>
      <c r="L3" s="984">
        <f>IFERROR(MATCH(K3,OFFER_METHOD,0),0)</f>
        <v>0</v>
      </c>
      <c r="M3" s="983">
        <v>2</v>
      </c>
      <c r="N3" s="1062" t="s">
        <v>1364</v>
      </c>
      <c r="O3" s="982" t="s">
        <v>1365</v>
      </c>
      <c r="P3" s="985" t="s">
        <v>1366</v>
      </c>
      <c r="Q3" s="986" t="s">
        <v>1367</v>
      </c>
      <c r="R3" s="68" t="s">
        <v>1368</v>
      </c>
      <c r="S3" s="68" t="s">
        <v>1369</v>
      </c>
      <c r="T3" s="987" t="s">
        <v>1370</v>
      </c>
      <c r="U3" s="984" t="s">
        <v>1371</v>
      </c>
      <c r="V3" s="988">
        <v>2</v>
      </c>
      <c r="W3" s="989"/>
      <c r="X3" s="989" t="s">
        <v>1372</v>
      </c>
      <c r="Y3" s="980" t="s">
        <v>1347</v>
      </c>
      <c r="Z3" s="990"/>
      <c r="AA3" s="980" t="s">
        <v>1373</v>
      </c>
      <c r="AB3" s="991" t="s">
        <v>1373</v>
      </c>
      <c r="AC3" s="980" t="s">
        <v>1374</v>
      </c>
      <c r="AD3" s="991" t="s">
        <v>1374</v>
      </c>
      <c r="AF3" s="982" t="s">
        <v>1371</v>
      </c>
      <c r="AH3" s="981" t="s">
        <v>1375</v>
      </c>
      <c r="AI3" s="981" t="s">
        <v>1376</v>
      </c>
      <c r="AK3" s="981" t="s">
        <v>1377</v>
      </c>
      <c r="AM3" s="981" t="s">
        <v>1378</v>
      </c>
      <c r="AP3" s="992" t="s">
        <v>1379</v>
      </c>
      <c r="AQ3" s="993" t="s">
        <v>1379</v>
      </c>
      <c r="AS3" s="980" t="s">
        <v>1380</v>
      </c>
      <c r="AU3" s="1023" t="s">
        <v>1381</v>
      </c>
      <c r="AW3" s="1023" t="s">
        <v>1382</v>
      </c>
      <c r="AX3" s="1023" t="s">
        <v>1382</v>
      </c>
      <c r="AZ3" s="1023" t="s">
        <v>1383</v>
      </c>
      <c r="BB3" s="1023" t="s">
        <v>1384</v>
      </c>
      <c r="BC3" s="1023" t="s">
        <v>1356</v>
      </c>
      <c r="BE3" s="1023">
        <v>2001</v>
      </c>
      <c r="BF3" s="1023" t="s">
        <v>1385</v>
      </c>
      <c r="BH3" s="972" t="s">
        <v>1386</v>
      </c>
      <c r="BJ3" s="972" t="s">
        <v>1387</v>
      </c>
      <c r="BL3" s="972" t="s">
        <v>1388</v>
      </c>
      <c r="BN3" s="972" t="s">
        <v>1389</v>
      </c>
      <c r="BR3" s="972" t="s">
        <v>1390</v>
      </c>
      <c r="BS3" s="1342"/>
      <c r="BT3" s="975"/>
      <c r="BU3" s="972" t="s">
        <v>1391</v>
      </c>
      <c r="BV3" s="975"/>
      <c r="BW3" s="1600"/>
      <c r="BX3" s="1602" t="s">
        <v>1392</v>
      </c>
      <c r="CA3" s="972" t="s">
        <v>1393</v>
      </c>
    </row>
    <row r="4" spans="1:79" ht="11.25" customHeight="1">
      <c r="A4" s="979" t="s">
        <v>1394</v>
      </c>
      <c r="B4" s="980">
        <v>2002</v>
      </c>
      <c r="C4" s="980">
        <v>2024</v>
      </c>
      <c r="E4" s="981" t="s">
        <v>1395</v>
      </c>
      <c r="F4" s="981" t="s">
        <v>1396</v>
      </c>
      <c r="H4" s="982" t="s">
        <v>1397</v>
      </c>
      <c r="I4" s="981" t="s">
        <v>89</v>
      </c>
      <c r="J4" s="981" t="s">
        <v>1398</v>
      </c>
      <c r="K4" s="983" t="s">
        <v>1399</v>
      </c>
      <c r="L4" s="984">
        <f>IFERROR(MATCH(K4,OFFER_METHOD,0),0)</f>
        <v>0</v>
      </c>
      <c r="M4" s="983">
        <v>3</v>
      </c>
      <c r="N4" s="1062" t="s">
        <v>1400</v>
      </c>
      <c r="O4" s="981" t="s">
        <v>1401</v>
      </c>
      <c r="Q4" s="986" t="s">
        <v>1402</v>
      </c>
      <c r="R4" s="68" t="s">
        <v>1403</v>
      </c>
      <c r="S4" s="68" t="s">
        <v>1404</v>
      </c>
      <c r="T4" s="987" t="s">
        <v>1405</v>
      </c>
      <c r="U4" s="984" t="s">
        <v>605</v>
      </c>
      <c r="V4" s="988">
        <v>3</v>
      </c>
      <c r="W4" s="989"/>
      <c r="X4" s="989" t="s">
        <v>1406</v>
      </c>
      <c r="Y4" s="980" t="s">
        <v>1347</v>
      </c>
      <c r="Z4" s="995"/>
      <c r="AC4" s="980" t="s">
        <v>1407</v>
      </c>
      <c r="AD4" s="991" t="s">
        <v>1407</v>
      </c>
      <c r="AF4" s="982" t="s">
        <v>605</v>
      </c>
      <c r="AH4" s="982" t="s">
        <v>1408</v>
      </c>
      <c r="AK4" s="981" t="s">
        <v>1409</v>
      </c>
      <c r="AM4" s="981" t="s">
        <v>1410</v>
      </c>
      <c r="AP4" s="992" t="s">
        <v>1372</v>
      </c>
      <c r="AQ4" s="993" t="s">
        <v>1372</v>
      </c>
      <c r="AS4" s="980" t="s">
        <v>1411</v>
      </c>
      <c r="AU4" s="1023" t="s">
        <v>1412</v>
      </c>
      <c r="AW4" s="1023" t="s">
        <v>1413</v>
      </c>
      <c r="AX4" s="1023" t="s">
        <v>1413</v>
      </c>
      <c r="AZ4" s="1023" t="s">
        <v>1414</v>
      </c>
      <c r="BB4" s="1023" t="s">
        <v>1415</v>
      </c>
      <c r="BC4" s="1023" t="s">
        <v>1416</v>
      </c>
      <c r="BE4" s="1023">
        <v>2002</v>
      </c>
      <c r="BF4" s="1023" t="s">
        <v>1417</v>
      </c>
      <c r="BH4" s="973" t="s">
        <v>1418</v>
      </c>
      <c r="BJ4" s="973" t="s">
        <v>1418</v>
      </c>
      <c r="BL4" s="973" t="s">
        <v>1418</v>
      </c>
      <c r="BN4" s="973" t="s">
        <v>1418</v>
      </c>
      <c r="BQ4" s="1346" t="s">
        <v>1419</v>
      </c>
      <c r="BR4" s="1059" t="s">
        <v>1420</v>
      </c>
      <c r="BS4" s="193"/>
      <c r="BT4" s="1346" t="s">
        <v>1421</v>
      </c>
      <c r="BU4" s="1059" t="s">
        <v>1422</v>
      </c>
      <c r="BV4" s="975"/>
      <c r="BW4" s="1607" t="s">
        <v>1423</v>
      </c>
      <c r="BX4" s="1601" t="s">
        <v>1424</v>
      </c>
      <c r="BZ4" s="1346" t="s">
        <v>1425</v>
      </c>
      <c r="CA4" s="1059" t="s">
        <v>1426</v>
      </c>
    </row>
    <row r="5" spans="1:79" ht="11.25" customHeight="1">
      <c r="A5" s="979" t="s">
        <v>1427</v>
      </c>
      <c r="B5" s="980">
        <v>2003</v>
      </c>
      <c r="C5" s="980">
        <v>2025</v>
      </c>
      <c r="E5" s="981" t="s">
        <v>1428</v>
      </c>
      <c r="F5" s="981" t="s">
        <v>1429</v>
      </c>
      <c r="H5" s="982" t="s">
        <v>1430</v>
      </c>
      <c r="I5" s="981" t="s">
        <v>90</v>
      </c>
      <c r="K5" s="983" t="s">
        <v>1431</v>
      </c>
      <c r="L5" s="984">
        <f>IFERROR(MATCH(K5,OFFER_METHOD,0),0)</f>
        <v>0</v>
      </c>
      <c r="M5" s="983">
        <v>4</v>
      </c>
      <c r="N5" s="996" t="s">
        <v>1432</v>
      </c>
      <c r="O5" s="981" t="s">
        <v>1433</v>
      </c>
      <c r="Q5" s="986" t="s">
        <v>1434</v>
      </c>
      <c r="R5" s="68" t="s">
        <v>1435</v>
      </c>
      <c r="T5" s="982" t="s">
        <v>1436</v>
      </c>
      <c r="U5" s="984" t="s">
        <v>1437</v>
      </c>
      <c r="V5" s="988">
        <v>4</v>
      </c>
      <c r="W5" s="989"/>
      <c r="X5" s="989" t="s">
        <v>274</v>
      </c>
      <c r="Y5" s="980" t="s">
        <v>1438</v>
      </c>
      <c r="Z5" s="995">
        <v>1</v>
      </c>
      <c r="AF5" s="982" t="s">
        <v>1439</v>
      </c>
      <c r="AH5" s="981" t="s">
        <v>1440</v>
      </c>
      <c r="AK5" s="981" t="s">
        <v>1441</v>
      </c>
      <c r="AM5" s="981" t="s">
        <v>1442</v>
      </c>
      <c r="AP5" s="992" t="s">
        <v>274</v>
      </c>
      <c r="AQ5" s="993" t="s">
        <v>274</v>
      </c>
      <c r="AU5" s="1023" t="s">
        <v>1443</v>
      </c>
      <c r="AW5" s="1023" t="s">
        <v>1444</v>
      </c>
      <c r="AX5" s="1023" t="s">
        <v>1444</v>
      </c>
      <c r="AZ5" s="1023" t="s">
        <v>1445</v>
      </c>
      <c r="BB5" s="1023" t="s">
        <v>1446</v>
      </c>
      <c r="BC5" s="1023" t="s">
        <v>1447</v>
      </c>
      <c r="BE5" s="1023">
        <v>2003</v>
      </c>
      <c r="BF5" s="1023" t="s">
        <v>1448</v>
      </c>
      <c r="BH5" s="973" t="s">
        <v>1449</v>
      </c>
      <c r="BJ5" s="973" t="s">
        <v>1449</v>
      </c>
      <c r="BL5" s="973" t="s">
        <v>1449</v>
      </c>
      <c r="BN5" s="973" t="s">
        <v>1450</v>
      </c>
      <c r="BQ5" s="1201">
        <v>4213775</v>
      </c>
      <c r="BR5" s="973" t="s">
        <v>1346</v>
      </c>
      <c r="BS5" s="1343"/>
      <c r="BT5" s="1201">
        <v>64236871</v>
      </c>
      <c r="BU5" s="973" t="s">
        <v>347</v>
      </c>
      <c r="BV5" s="975"/>
      <c r="BW5" s="1605">
        <v>4213767</v>
      </c>
      <c r="BX5" s="1603" t="s">
        <v>1451</v>
      </c>
      <c r="BZ5" s="1201">
        <v>64237509</v>
      </c>
      <c r="CA5" s="1214" t="s">
        <v>1452</v>
      </c>
    </row>
    <row r="6" spans="1:79" ht="11.25" customHeight="1">
      <c r="A6" s="979" t="s">
        <v>1453</v>
      </c>
      <c r="B6" s="980">
        <v>2004</v>
      </c>
      <c r="C6" s="980">
        <v>2026</v>
      </c>
      <c r="E6" s="981" t="s">
        <v>1454</v>
      </c>
      <c r="F6" s="997"/>
      <c r="H6" s="982" t="s">
        <v>1455</v>
      </c>
      <c r="I6" s="981" t="s">
        <v>115</v>
      </c>
      <c r="J6" s="972" t="s">
        <v>1456</v>
      </c>
      <c r="L6" s="984">
        <f>SUM(kind_of_control_method_filter)</f>
        <v>0</v>
      </c>
      <c r="N6" s="996" t="s">
        <v>1457</v>
      </c>
      <c r="O6" s="981" t="s">
        <v>1458</v>
      </c>
      <c r="R6" s="68" t="s">
        <v>566</v>
      </c>
      <c r="T6" s="982" t="s">
        <v>1459</v>
      </c>
      <c r="U6" s="984" t="s">
        <v>1439</v>
      </c>
      <c r="V6" s="988">
        <v>5</v>
      </c>
      <c r="W6" s="989"/>
      <c r="X6" s="980" t="s">
        <v>291</v>
      </c>
      <c r="Y6" s="980" t="s">
        <v>1460</v>
      </c>
      <c r="Z6" s="995"/>
      <c r="AA6" s="998"/>
      <c r="AH6" s="981" t="s">
        <v>1461</v>
      </c>
      <c r="AK6" s="981" t="s">
        <v>1462</v>
      </c>
      <c r="AM6" s="981" t="s">
        <v>1463</v>
      </c>
      <c r="AP6" s="992" t="s">
        <v>291</v>
      </c>
      <c r="AQ6" s="993" t="s">
        <v>291</v>
      </c>
      <c r="AU6" s="1023" t="s">
        <v>1464</v>
      </c>
      <c r="AW6" s="1023" t="s">
        <v>1465</v>
      </c>
      <c r="AX6" s="1023" t="s">
        <v>1465</v>
      </c>
      <c r="BB6" s="1023" t="s">
        <v>1466</v>
      </c>
      <c r="BC6" s="1023" t="s">
        <v>1447</v>
      </c>
      <c r="BE6" s="1023">
        <v>2004</v>
      </c>
      <c r="BF6" s="1023" t="s">
        <v>1467</v>
      </c>
      <c r="BH6" s="973" t="s">
        <v>1468</v>
      </c>
      <c r="BJ6" s="973" t="s">
        <v>1469</v>
      </c>
      <c r="BL6" s="973" t="s">
        <v>1469</v>
      </c>
      <c r="BN6" s="973" t="s">
        <v>1470</v>
      </c>
      <c r="BQ6" s="1201">
        <v>4213784</v>
      </c>
      <c r="BR6" s="1214" t="s">
        <v>1379</v>
      </c>
      <c r="BS6" s="1344"/>
      <c r="BT6" s="1201">
        <v>64236872</v>
      </c>
      <c r="BU6" s="973" t="s">
        <v>352</v>
      </c>
      <c r="BV6" s="975"/>
      <c r="BW6" s="1605">
        <v>4213768</v>
      </c>
      <c r="BX6" s="1603" t="s">
        <v>372</v>
      </c>
      <c r="BZ6" s="1201">
        <v>64237510</v>
      </c>
      <c r="CA6" s="973" t="s">
        <v>1471</v>
      </c>
    </row>
    <row r="7" spans="1:79" ht="11.25" customHeight="1">
      <c r="A7" s="979" t="s">
        <v>1472</v>
      </c>
      <c r="B7" s="980">
        <v>2005</v>
      </c>
      <c r="E7" s="981" t="s">
        <v>1473</v>
      </c>
      <c r="F7" s="997"/>
      <c r="H7" s="982" t="s">
        <v>1474</v>
      </c>
      <c r="I7" s="981" t="s">
        <v>91</v>
      </c>
      <c r="J7" s="981" t="s">
        <v>1475</v>
      </c>
      <c r="N7" s="1000" t="s">
        <v>1476</v>
      </c>
      <c r="O7" s="981" t="s">
        <v>1477</v>
      </c>
      <c r="U7" s="984" t="s">
        <v>56</v>
      </c>
      <c r="V7" s="298" t="s">
        <v>91</v>
      </c>
      <c r="W7" s="989"/>
      <c r="X7" s="980" t="s">
        <v>308</v>
      </c>
      <c r="Y7" s="980" t="s">
        <v>1438</v>
      </c>
      <c r="Z7" s="995"/>
      <c r="AA7" s="998"/>
      <c r="AH7" s="981" t="s">
        <v>1478</v>
      </c>
      <c r="AK7" s="981" t="s">
        <v>1479</v>
      </c>
      <c r="AM7" s="981" t="s">
        <v>1480</v>
      </c>
      <c r="AP7" s="992" t="s">
        <v>308</v>
      </c>
      <c r="AQ7" s="993" t="s">
        <v>308</v>
      </c>
      <c r="AU7" s="1023" t="s">
        <v>1481</v>
      </c>
      <c r="AW7" s="1023" t="s">
        <v>1482</v>
      </c>
      <c r="AX7" s="1023" t="s">
        <v>1482</v>
      </c>
      <c r="AZ7" s="972" t="s">
        <v>1483</v>
      </c>
      <c r="BB7" s="1023" t="s">
        <v>1484</v>
      </c>
      <c r="BC7" s="1023" t="s">
        <v>1447</v>
      </c>
      <c r="BE7" s="1023">
        <v>2005</v>
      </c>
      <c r="BF7" s="1023" t="s">
        <v>1485</v>
      </c>
      <c r="BH7" s="973" t="s">
        <v>1486</v>
      </c>
      <c r="BJ7" s="973" t="s">
        <v>1468</v>
      </c>
      <c r="BL7" s="973" t="s">
        <v>1468</v>
      </c>
      <c r="BN7" s="973" t="s">
        <v>1487</v>
      </c>
      <c r="BQ7" s="1201">
        <v>4213781</v>
      </c>
      <c r="BR7" s="973" t="s">
        <v>1372</v>
      </c>
      <c r="BS7" s="1343"/>
      <c r="BT7" s="1201">
        <v>64236873</v>
      </c>
      <c r="BU7" s="973" t="s">
        <v>357</v>
      </c>
      <c r="BV7" s="975"/>
      <c r="BW7" s="1605">
        <v>4213769</v>
      </c>
      <c r="BX7" s="1603" t="s">
        <v>1488</v>
      </c>
      <c r="BZ7" s="1201">
        <v>64237511</v>
      </c>
      <c r="CA7" s="973" t="s">
        <v>387</v>
      </c>
    </row>
    <row r="8" spans="1:79" ht="11.25" customHeight="1">
      <c r="A8" s="979" t="s">
        <v>1489</v>
      </c>
      <c r="B8" s="980">
        <v>2006</v>
      </c>
      <c r="E8" s="981" t="s">
        <v>1490</v>
      </c>
      <c r="F8" s="997"/>
      <c r="I8" s="981" t="s">
        <v>92</v>
      </c>
      <c r="J8" s="981" t="s">
        <v>1491</v>
      </c>
      <c r="N8" s="1063" t="s">
        <v>1492</v>
      </c>
      <c r="O8" s="981" t="s">
        <v>1493</v>
      </c>
      <c r="V8" s="298" t="s">
        <v>92</v>
      </c>
      <c r="W8" s="989"/>
      <c r="X8" s="980" t="s">
        <v>314</v>
      </c>
      <c r="Y8" s="980" t="s">
        <v>1438</v>
      </c>
      <c r="Z8" s="995"/>
      <c r="AA8" s="998"/>
      <c r="AK8" s="981" t="s">
        <v>1494</v>
      </c>
      <c r="AP8" s="992" t="s">
        <v>314</v>
      </c>
      <c r="AQ8" s="993" t="s">
        <v>314</v>
      </c>
      <c r="AU8" s="1023" t="s">
        <v>1495</v>
      </c>
      <c r="AW8" s="1023" t="s">
        <v>1496</v>
      </c>
      <c r="AX8" s="1023" t="s">
        <v>1496</v>
      </c>
      <c r="AZ8" s="1023" t="s">
        <v>1497</v>
      </c>
      <c r="BB8" s="1023" t="s">
        <v>1498</v>
      </c>
      <c r="BC8" s="1023" t="s">
        <v>1447</v>
      </c>
      <c r="BE8" s="1023">
        <v>2006</v>
      </c>
      <c r="BF8" s="1023" t="s">
        <v>1499</v>
      </c>
      <c r="BH8" s="973" t="s">
        <v>1500</v>
      </c>
      <c r="BJ8" s="973" t="s">
        <v>1501</v>
      </c>
      <c r="BL8" s="973" t="s">
        <v>1501</v>
      </c>
      <c r="BN8" s="973" t="s">
        <v>1502</v>
      </c>
      <c r="BQ8" s="1201">
        <v>4213776</v>
      </c>
      <c r="BR8" s="973" t="s">
        <v>274</v>
      </c>
      <c r="BS8" s="1343"/>
      <c r="BT8" s="1201">
        <v>64236874</v>
      </c>
      <c r="BU8" s="1214" t="s">
        <v>1503</v>
      </c>
      <c r="BV8" s="975"/>
      <c r="BW8" s="1605">
        <v>4213770</v>
      </c>
      <c r="BX8" s="1606" t="s">
        <v>1504</v>
      </c>
      <c r="BZ8" s="1201">
        <v>64237512</v>
      </c>
      <c r="CA8" s="973" t="s">
        <v>382</v>
      </c>
    </row>
    <row r="9" spans="1:79" ht="11.25" customHeight="1">
      <c r="A9" s="979" t="s">
        <v>1505</v>
      </c>
      <c r="B9" s="980">
        <v>2007</v>
      </c>
      <c r="E9" s="981" t="s">
        <v>1506</v>
      </c>
      <c r="F9" s="997"/>
      <c r="G9" s="972" t="s">
        <v>1507</v>
      </c>
      <c r="H9" s="972" t="s">
        <v>1508</v>
      </c>
      <c r="I9" s="981" t="s">
        <v>128</v>
      </c>
      <c r="O9" s="981" t="s">
        <v>1509</v>
      </c>
      <c r="V9" s="298" t="s">
        <v>128</v>
      </c>
      <c r="W9" s="989"/>
      <c r="X9" s="980" t="s">
        <v>320</v>
      </c>
      <c r="Y9" s="980" t="s">
        <v>1347</v>
      </c>
      <c r="Z9" s="995">
        <v>1</v>
      </c>
      <c r="AA9" s="998"/>
      <c r="AK9" s="981" t="s">
        <v>1510</v>
      </c>
      <c r="AP9" s="992" t="s">
        <v>1511</v>
      </c>
      <c r="AQ9" s="993" t="s">
        <v>1511</v>
      </c>
      <c r="AW9" s="1023" t="s">
        <v>1512</v>
      </c>
      <c r="AX9" s="1023" t="s">
        <v>1512</v>
      </c>
      <c r="AZ9" s="1023" t="s">
        <v>1513</v>
      </c>
      <c r="BB9" s="1023" t="s">
        <v>1514</v>
      </c>
      <c r="BC9" s="1023" t="s">
        <v>1447</v>
      </c>
      <c r="BE9" s="1023">
        <v>2007</v>
      </c>
      <c r="BF9" s="1023" t="s">
        <v>1515</v>
      </c>
      <c r="BH9" s="973" t="s">
        <v>1516</v>
      </c>
      <c r="BJ9" s="973" t="s">
        <v>1517</v>
      </c>
      <c r="BL9" s="973" t="s">
        <v>1517</v>
      </c>
      <c r="BN9" s="973" t="s">
        <v>1518</v>
      </c>
      <c r="BQ9" s="1201">
        <v>4213777</v>
      </c>
      <c r="BR9" s="973" t="s">
        <v>291</v>
      </c>
      <c r="BS9" s="1343"/>
      <c r="BT9" s="1201">
        <v>64236875</v>
      </c>
      <c r="BU9" s="973" t="s">
        <v>362</v>
      </c>
      <c r="BV9" s="975"/>
      <c r="BW9" s="1600"/>
      <c r="BX9" s="1600"/>
    </row>
    <row r="10" spans="1:79" ht="11.25" customHeight="1">
      <c r="A10" s="979" t="s">
        <v>1519</v>
      </c>
      <c r="B10" s="980">
        <v>2008</v>
      </c>
      <c r="E10" s="981" t="s">
        <v>1520</v>
      </c>
      <c r="F10" s="997"/>
      <c r="G10" s="981" t="s">
        <v>1521</v>
      </c>
      <c r="H10" s="981" t="s">
        <v>1522</v>
      </c>
      <c r="I10" s="981" t="s">
        <v>133</v>
      </c>
      <c r="J10" s="972" t="s">
        <v>1523</v>
      </c>
      <c r="K10" s="972" t="s">
        <v>1524</v>
      </c>
      <c r="O10" s="981" t="s">
        <v>1525</v>
      </c>
      <c r="V10" s="299" t="s">
        <v>133</v>
      </c>
      <c r="W10" s="1001"/>
      <c r="X10" s="1001" t="s">
        <v>1526</v>
      </c>
      <c r="Y10" s="1002" t="s">
        <v>1527</v>
      </c>
      <c r="Z10" s="995"/>
      <c r="AP10" s="992" t="s">
        <v>1526</v>
      </c>
      <c r="AQ10" s="993" t="s">
        <v>1526</v>
      </c>
      <c r="AW10" s="1023" t="s">
        <v>1528</v>
      </c>
      <c r="AX10" s="1023" t="s">
        <v>1528</v>
      </c>
      <c r="AZ10" s="1023" t="s">
        <v>1529</v>
      </c>
      <c r="BB10" s="1023" t="s">
        <v>1530</v>
      </c>
      <c r="BC10" s="1023" t="s">
        <v>1447</v>
      </c>
      <c r="BE10" s="1023">
        <v>2008</v>
      </c>
      <c r="BF10" s="1023" t="s">
        <v>1531</v>
      </c>
      <c r="BH10" s="973" t="s">
        <v>1532</v>
      </c>
      <c r="BJ10" s="973" t="s">
        <v>1533</v>
      </c>
      <c r="BL10" s="973" t="s">
        <v>1533</v>
      </c>
      <c r="BN10" s="973" t="s">
        <v>1534</v>
      </c>
      <c r="BQ10" s="1201">
        <v>4213778</v>
      </c>
      <c r="BR10" s="973" t="s">
        <v>308</v>
      </c>
      <c r="BS10" s="1343"/>
      <c r="BT10" s="1201">
        <v>64236876</v>
      </c>
      <c r="BU10" s="973" t="s">
        <v>342</v>
      </c>
      <c r="BV10" s="975"/>
      <c r="BW10" s="1600"/>
      <c r="BX10" s="1600"/>
    </row>
    <row r="11" spans="1:79" ht="11.25" customHeight="1">
      <c r="A11" s="979" t="s">
        <v>1535</v>
      </c>
      <c r="B11" s="980">
        <v>2009</v>
      </c>
      <c r="E11" s="981" t="s">
        <v>1536</v>
      </c>
      <c r="F11" s="997"/>
      <c r="G11" s="981" t="s">
        <v>1537</v>
      </c>
      <c r="H11" s="981" t="s">
        <v>1538</v>
      </c>
      <c r="I11" s="981" t="s">
        <v>138</v>
      </c>
      <c r="J11" s="982" t="s">
        <v>1539</v>
      </c>
      <c r="K11" s="1003" t="s">
        <v>1540</v>
      </c>
      <c r="O11" s="982" t="s">
        <v>1541</v>
      </c>
      <c r="V11" s="298" t="s">
        <v>138</v>
      </c>
      <c r="W11" s="194"/>
      <c r="X11" s="989" t="s">
        <v>1511</v>
      </c>
      <c r="Y11" s="980" t="s">
        <v>1542</v>
      </c>
      <c r="Z11" s="995"/>
      <c r="AP11" s="992" t="s">
        <v>320</v>
      </c>
      <c r="AQ11" s="994" t="s">
        <v>320</v>
      </c>
      <c r="AW11" s="1023" t="s">
        <v>1543</v>
      </c>
      <c r="AX11" s="1023" t="s">
        <v>1543</v>
      </c>
      <c r="AZ11" s="1023" t="s">
        <v>1544</v>
      </c>
      <c r="BB11" s="1023" t="s">
        <v>1545</v>
      </c>
      <c r="BC11" s="1023" t="s">
        <v>1447</v>
      </c>
      <c r="BE11" s="1023">
        <v>2009</v>
      </c>
      <c r="BF11" s="1023" t="s">
        <v>1546</v>
      </c>
      <c r="BH11" s="973" t="s">
        <v>1547</v>
      </c>
      <c r="BJ11" s="973" t="s">
        <v>1516</v>
      </c>
      <c r="BL11" s="973" t="s">
        <v>1516</v>
      </c>
      <c r="BN11" s="973" t="s">
        <v>1548</v>
      </c>
      <c r="BQ11" s="1201">
        <v>4213780</v>
      </c>
      <c r="BR11" s="973" t="s">
        <v>314</v>
      </c>
      <c r="BS11" s="1343"/>
      <c r="BW11" s="1600"/>
      <c r="BX11" s="1600"/>
    </row>
    <row r="12" spans="1:79" ht="11.25" customHeight="1">
      <c r="A12" s="979" t="s">
        <v>1549</v>
      </c>
      <c r="B12" s="980">
        <v>2010</v>
      </c>
      <c r="E12" s="981" t="s">
        <v>1550</v>
      </c>
      <c r="F12" s="997"/>
      <c r="G12" s="981" t="s">
        <v>1538</v>
      </c>
      <c r="I12" s="981" t="s">
        <v>104</v>
      </c>
      <c r="J12" s="982" t="s">
        <v>1551</v>
      </c>
      <c r="K12" s="1003" t="s">
        <v>1552</v>
      </c>
      <c r="O12" s="982" t="s">
        <v>566</v>
      </c>
      <c r="V12" s="298" t="s">
        <v>104</v>
      </c>
      <c r="W12" s="994"/>
      <c r="X12" s="989" t="s">
        <v>1553</v>
      </c>
      <c r="Y12" s="980" t="s">
        <v>1347</v>
      </c>
      <c r="AP12" s="992"/>
      <c r="AW12" s="1023" t="s">
        <v>138</v>
      </c>
      <c r="AX12" s="1023" t="s">
        <v>138</v>
      </c>
      <c r="AZ12" s="1023" t="s">
        <v>1554</v>
      </c>
      <c r="BB12" s="1023" t="s">
        <v>1555</v>
      </c>
      <c r="BC12" s="1023" t="s">
        <v>1447</v>
      </c>
      <c r="BE12" s="1023">
        <v>2010</v>
      </c>
      <c r="BF12" s="1023" t="s">
        <v>1556</v>
      </c>
      <c r="BH12" s="973" t="s">
        <v>1557</v>
      </c>
      <c r="BJ12" s="973" t="s">
        <v>1558</v>
      </c>
      <c r="BL12" s="973" t="s">
        <v>1558</v>
      </c>
      <c r="BN12" s="973" t="s">
        <v>1559</v>
      </c>
      <c r="BQ12" s="1201">
        <v>4213779</v>
      </c>
      <c r="BR12" s="973" t="s">
        <v>1511</v>
      </c>
      <c r="BS12" s="1343"/>
      <c r="BT12" s="975"/>
      <c r="BU12" s="975"/>
      <c r="BV12" s="975"/>
      <c r="BW12" s="1600"/>
      <c r="BX12" s="1600"/>
    </row>
    <row r="13" spans="1:79" ht="11.25" customHeight="1">
      <c r="A13" s="979" t="s">
        <v>1560</v>
      </c>
      <c r="B13" s="980">
        <v>2011</v>
      </c>
      <c r="E13" s="981" t="s">
        <v>1561</v>
      </c>
      <c r="F13" s="997"/>
      <c r="I13" s="981" t="s">
        <v>147</v>
      </c>
      <c r="K13" s="1003" t="s">
        <v>1510</v>
      </c>
      <c r="V13" s="298" t="s">
        <v>147</v>
      </c>
      <c r="W13" s="994"/>
      <c r="X13" s="994"/>
      <c r="Y13" s="994"/>
      <c r="AW13" s="1023" t="s">
        <v>104</v>
      </c>
      <c r="AX13" s="1023" t="s">
        <v>104</v>
      </c>
      <c r="BB13" s="1023" t="s">
        <v>1562</v>
      </c>
      <c r="BC13" s="1023" t="s">
        <v>1563</v>
      </c>
      <c r="BE13" s="1023">
        <v>2011</v>
      </c>
      <c r="BF13" s="1023" t="s">
        <v>1564</v>
      </c>
      <c r="BH13" s="973" t="s">
        <v>1565</v>
      </c>
      <c r="BJ13" s="973" t="s">
        <v>1547</v>
      </c>
      <c r="BL13" s="973" t="s">
        <v>1547</v>
      </c>
      <c r="BN13" s="973" t="s">
        <v>1566</v>
      </c>
      <c r="BQ13" s="1201">
        <v>4213783</v>
      </c>
      <c r="BR13" s="973" t="s">
        <v>1526</v>
      </c>
      <c r="BS13" s="1343"/>
      <c r="BT13" s="975"/>
      <c r="BU13" s="975"/>
      <c r="BV13" s="975"/>
      <c r="BW13" s="1604"/>
      <c r="BX13" s="1600"/>
    </row>
    <row r="14" spans="1:79" ht="11.25" customHeight="1">
      <c r="A14" s="979" t="s">
        <v>1567</v>
      </c>
      <c r="B14" s="980">
        <v>2012</v>
      </c>
      <c r="I14" s="981" t="s">
        <v>152</v>
      </c>
      <c r="J14" s="972" t="s">
        <v>1568</v>
      </c>
      <c r="N14" s="972" t="s">
        <v>1569</v>
      </c>
      <c r="V14" s="988">
        <v>13</v>
      </c>
      <c r="W14" s="989"/>
      <c r="X14" s="989" t="s">
        <v>1379</v>
      </c>
      <c r="Y14" s="980" t="s">
        <v>1347</v>
      </c>
      <c r="AW14" s="1023" t="s">
        <v>147</v>
      </c>
      <c r="AX14" s="1023" t="s">
        <v>147</v>
      </c>
      <c r="AZ14" s="972" t="s">
        <v>1570</v>
      </c>
      <c r="BB14" s="1023" t="s">
        <v>1571</v>
      </c>
      <c r="BC14" s="1023" t="s">
        <v>1563</v>
      </c>
      <c r="BE14" s="1023">
        <v>2012</v>
      </c>
      <c r="BH14" s="973" t="s">
        <v>1487</v>
      </c>
      <c r="BJ14" s="1121" t="s">
        <v>1572</v>
      </c>
      <c r="BL14" s="1121" t="s">
        <v>1572</v>
      </c>
      <c r="BN14" s="973" t="s">
        <v>1573</v>
      </c>
      <c r="BQ14" s="1201">
        <v>4213782</v>
      </c>
      <c r="BR14" s="973" t="s">
        <v>320</v>
      </c>
      <c r="BS14" s="1343"/>
      <c r="BT14" s="975"/>
      <c r="BU14" s="975"/>
      <c r="BV14" s="975"/>
      <c r="BW14" s="1604"/>
      <c r="BX14" s="1600"/>
    </row>
    <row r="15" spans="1:79" ht="19.5" customHeight="1">
      <c r="A15" s="979" t="s">
        <v>1574</v>
      </c>
      <c r="B15" s="980">
        <v>2013</v>
      </c>
      <c r="E15" s="1608" t="s">
        <v>1575</v>
      </c>
      <c r="G15" s="972" t="s">
        <v>1576</v>
      </c>
      <c r="H15" s="972" t="s">
        <v>1577</v>
      </c>
      <c r="I15" s="983" t="s">
        <v>157</v>
      </c>
      <c r="J15" s="994" t="s">
        <v>700</v>
      </c>
      <c r="N15" s="1058" t="s">
        <v>1578</v>
      </c>
      <c r="X15" s="992"/>
      <c r="AW15" s="1023" t="s">
        <v>152</v>
      </c>
      <c r="AX15" s="1023" t="s">
        <v>152</v>
      </c>
      <c r="AZ15" s="1023" t="s">
        <v>1497</v>
      </c>
      <c r="BB15" s="1023" t="s">
        <v>1579</v>
      </c>
      <c r="BC15" s="1023" t="s">
        <v>1563</v>
      </c>
      <c r="BE15" s="1023">
        <v>2013</v>
      </c>
      <c r="BH15" s="973" t="s">
        <v>1502</v>
      </c>
      <c r="BJ15" s="1121" t="s">
        <v>1580</v>
      </c>
      <c r="BL15" s="1121" t="s">
        <v>1580</v>
      </c>
      <c r="BN15" s="973" t="s">
        <v>1581</v>
      </c>
      <c r="BR15" s="975"/>
      <c r="BS15" s="1345"/>
      <c r="BT15" s="975"/>
      <c r="BU15" s="975"/>
      <c r="BV15" s="975"/>
      <c r="BW15" s="1604"/>
      <c r="BX15" s="1600"/>
    </row>
    <row r="16" spans="1:79" ht="21" customHeight="1">
      <c r="A16" s="1779" t="s">
        <v>1582</v>
      </c>
      <c r="B16" s="980">
        <v>2014</v>
      </c>
      <c r="E16" s="1609" t="s">
        <v>1583</v>
      </c>
      <c r="G16" s="981" t="s">
        <v>1584</v>
      </c>
      <c r="H16" s="981" t="s">
        <v>1585</v>
      </c>
      <c r="I16" s="983" t="s">
        <v>162</v>
      </c>
      <c r="J16" s="994" t="s">
        <v>673</v>
      </c>
      <c r="N16" s="1058" t="s">
        <v>1586</v>
      </c>
      <c r="AW16" s="1023" t="s">
        <v>157</v>
      </c>
      <c r="AX16" s="1023" t="s">
        <v>157</v>
      </c>
      <c r="AZ16" s="1023" t="s">
        <v>1513</v>
      </c>
      <c r="BB16" s="1023" t="s">
        <v>1587</v>
      </c>
      <c r="BC16" s="1023" t="s">
        <v>1563</v>
      </c>
      <c r="BE16" s="1023">
        <v>2014</v>
      </c>
      <c r="BH16" s="973" t="s">
        <v>1518</v>
      </c>
      <c r="BJ16" s="1121" t="s">
        <v>1588</v>
      </c>
      <c r="BL16" s="1121" t="s">
        <v>1588</v>
      </c>
      <c r="BN16" s="973" t="s">
        <v>1589</v>
      </c>
      <c r="BR16" s="975"/>
      <c r="BS16" s="1345"/>
      <c r="BT16" s="975"/>
      <c r="BU16" s="975"/>
      <c r="BV16" s="975"/>
      <c r="BW16" s="1604"/>
      <c r="BX16" s="1600"/>
    </row>
    <row r="17" spans="1:82" ht="21" customHeight="1">
      <c r="A17" s="979" t="s">
        <v>1590</v>
      </c>
      <c r="B17" s="980">
        <v>2015</v>
      </c>
      <c r="G17" s="981" t="s">
        <v>1538</v>
      </c>
      <c r="H17" s="981" t="s">
        <v>1538</v>
      </c>
      <c r="I17" s="981" t="s">
        <v>167</v>
      </c>
      <c r="N17" s="1058" t="s">
        <v>1591</v>
      </c>
      <c r="X17" s="992"/>
      <c r="AW17" s="1023" t="s">
        <v>162</v>
      </c>
      <c r="AX17" s="1023" t="s">
        <v>162</v>
      </c>
      <c r="AZ17" s="1023" t="s">
        <v>1592</v>
      </c>
      <c r="BB17" s="1023" t="s">
        <v>1593</v>
      </c>
      <c r="BC17" s="1023" t="s">
        <v>1447</v>
      </c>
      <c r="BE17" s="1023">
        <v>2015</v>
      </c>
      <c r="BH17" s="973" t="s">
        <v>1534</v>
      </c>
      <c r="BJ17" s="1121" t="s">
        <v>1594</v>
      </c>
      <c r="BL17" s="1121" t="s">
        <v>1594</v>
      </c>
      <c r="BN17" s="973" t="s">
        <v>1595</v>
      </c>
      <c r="BR17" s="972" t="s">
        <v>1390</v>
      </c>
      <c r="BS17" s="1342"/>
      <c r="BU17" s="972" t="s">
        <v>1596</v>
      </c>
      <c r="BV17" s="975"/>
      <c r="BW17" s="1600"/>
      <c r="BX17" s="1602" t="s">
        <v>1597</v>
      </c>
      <c r="CA17" s="972" t="s">
        <v>1598</v>
      </c>
      <c r="CD17" s="972" t="s">
        <v>1599</v>
      </c>
    </row>
    <row r="18" spans="1:82" ht="21" customHeight="1">
      <c r="A18" s="979" t="s">
        <v>1600</v>
      </c>
      <c r="B18" s="980">
        <v>2016</v>
      </c>
      <c r="I18" s="981" t="s">
        <v>1601</v>
      </c>
      <c r="N18" s="1058" t="s">
        <v>1602</v>
      </c>
      <c r="X18" s="992"/>
      <c r="AW18" s="1023" t="s">
        <v>167</v>
      </c>
      <c r="AX18" s="1023" t="s">
        <v>167</v>
      </c>
      <c r="BB18" s="1023" t="s">
        <v>1603</v>
      </c>
      <c r="BC18" s="1023" t="s">
        <v>1447</v>
      </c>
      <c r="BE18" s="1023">
        <v>2016</v>
      </c>
      <c r="BH18" s="973" t="s">
        <v>1548</v>
      </c>
      <c r="BJ18" s="1121" t="s">
        <v>1604</v>
      </c>
      <c r="BL18" s="1121" t="s">
        <v>1604</v>
      </c>
      <c r="BN18" s="973" t="s">
        <v>1605</v>
      </c>
      <c r="BQ18" s="1346" t="s">
        <v>1419</v>
      </c>
      <c r="BR18" s="1059" t="s">
        <v>1420</v>
      </c>
      <c r="BS18" s="193"/>
      <c r="BT18" s="1346" t="s">
        <v>1606</v>
      </c>
      <c r="BU18" s="1059" t="s">
        <v>1607</v>
      </c>
      <c r="BV18" s="975"/>
      <c r="BW18" s="1607" t="s">
        <v>1608</v>
      </c>
      <c r="BX18" s="1601" t="s">
        <v>1609</v>
      </c>
      <c r="BZ18" s="1346" t="s">
        <v>1610</v>
      </c>
      <c r="CA18" s="1059" t="s">
        <v>1611</v>
      </c>
      <c r="CC18" s="1346" t="s">
        <v>1612</v>
      </c>
      <c r="CD18" s="1059" t="s">
        <v>1613</v>
      </c>
    </row>
    <row r="19" spans="1:82" ht="21" customHeight="1">
      <c r="A19" s="1779" t="s">
        <v>1614</v>
      </c>
      <c r="B19" s="980">
        <v>2017</v>
      </c>
      <c r="I19" s="981" t="s">
        <v>1615</v>
      </c>
      <c r="N19" s="1058" t="s">
        <v>1616</v>
      </c>
      <c r="X19" s="992"/>
      <c r="AW19" s="1023" t="s">
        <v>1601</v>
      </c>
      <c r="AX19" s="1023" t="s">
        <v>1601</v>
      </c>
      <c r="AZ19" s="972" t="s">
        <v>1617</v>
      </c>
      <c r="BB19" s="1023" t="s">
        <v>1618</v>
      </c>
      <c r="BC19" s="1023" t="s">
        <v>1447</v>
      </c>
      <c r="BE19" s="1023">
        <v>2017</v>
      </c>
      <c r="BH19" s="973" t="s">
        <v>1619</v>
      </c>
      <c r="BJ19" s="1121" t="s">
        <v>1620</v>
      </c>
      <c r="BL19" s="1121" t="s">
        <v>1620</v>
      </c>
      <c r="BQ19" s="1201">
        <v>4190064</v>
      </c>
      <c r="BR19" s="973" t="s">
        <v>1621</v>
      </c>
      <c r="BS19" s="1343"/>
      <c r="BT19" s="1201">
        <v>4189671</v>
      </c>
      <c r="BU19" s="973" t="s">
        <v>1622</v>
      </c>
      <c r="BV19" s="975"/>
      <c r="BW19" s="1605">
        <v>4189706</v>
      </c>
      <c r="BX19" s="1603" t="s">
        <v>1623</v>
      </c>
      <c r="BZ19" s="1201">
        <v>4189714</v>
      </c>
      <c r="CA19" s="973" t="s">
        <v>1624</v>
      </c>
      <c r="CC19" s="1201">
        <v>4189708</v>
      </c>
      <c r="CD19" s="973" t="s">
        <v>1625</v>
      </c>
    </row>
    <row r="20" spans="1:82" ht="21" customHeight="1">
      <c r="A20" s="979" t="s">
        <v>1626</v>
      </c>
      <c r="B20" s="980">
        <v>2018</v>
      </c>
      <c r="I20" s="981" t="s">
        <v>1627</v>
      </c>
      <c r="N20" s="1058" t="s">
        <v>1628</v>
      </c>
      <c r="AW20" s="1023" t="s">
        <v>1615</v>
      </c>
      <c r="AX20" s="1023" t="s">
        <v>1615</v>
      </c>
      <c r="AZ20" s="1023" t="s">
        <v>1629</v>
      </c>
      <c r="BB20" s="1023" t="s">
        <v>1630</v>
      </c>
      <c r="BC20" s="1023" t="s">
        <v>1563</v>
      </c>
      <c r="BE20" s="1023">
        <v>2018</v>
      </c>
      <c r="BH20" s="973" t="s">
        <v>1559</v>
      </c>
      <c r="BJ20" s="973" t="s">
        <v>1487</v>
      </c>
      <c r="BL20" s="973" t="s">
        <v>1487</v>
      </c>
      <c r="BQ20" s="1201">
        <v>4190065</v>
      </c>
      <c r="BR20" s="973" t="s">
        <v>1631</v>
      </c>
      <c r="BS20" s="1343"/>
      <c r="BT20" s="1201">
        <v>4189672</v>
      </c>
      <c r="BU20" s="973" t="s">
        <v>1632</v>
      </c>
      <c r="BV20" s="975"/>
      <c r="BW20" s="1605">
        <v>4189705</v>
      </c>
      <c r="BX20" s="1603" t="s">
        <v>1633</v>
      </c>
      <c r="BZ20" s="1201">
        <v>4189713</v>
      </c>
      <c r="CA20" s="973" t="s">
        <v>1633</v>
      </c>
      <c r="CC20" s="1201">
        <v>4189709</v>
      </c>
      <c r="CD20" s="973" t="s">
        <v>1634</v>
      </c>
    </row>
    <row r="21" spans="1:82" ht="21" customHeight="1">
      <c r="A21" s="979" t="s">
        <v>1635</v>
      </c>
      <c r="B21" s="980">
        <v>2019</v>
      </c>
      <c r="I21" s="981" t="s">
        <v>1636</v>
      </c>
      <c r="N21" s="1058" t="s">
        <v>1637</v>
      </c>
      <c r="AW21" s="1023" t="s">
        <v>1627</v>
      </c>
      <c r="AX21" s="1023" t="s">
        <v>1627</v>
      </c>
      <c r="AZ21" s="1023" t="s">
        <v>1638</v>
      </c>
      <c r="BB21" s="1023" t="s">
        <v>1639</v>
      </c>
      <c r="BC21" s="1023" t="s">
        <v>1447</v>
      </c>
      <c r="BE21" s="1023">
        <v>2019</v>
      </c>
      <c r="BH21" s="973" t="s">
        <v>1566</v>
      </c>
      <c r="BJ21" s="973" t="s">
        <v>1502</v>
      </c>
      <c r="BL21" s="973" t="s">
        <v>1502</v>
      </c>
      <c r="BQ21" s="1201">
        <v>4190066</v>
      </c>
      <c r="BR21" s="973" t="s">
        <v>1640</v>
      </c>
      <c r="BS21" s="1343"/>
      <c r="BT21" s="1201">
        <v>4189673</v>
      </c>
      <c r="BU21" s="973" t="s">
        <v>1641</v>
      </c>
      <c r="BV21" s="975"/>
      <c r="BW21" s="1605">
        <v>4189707</v>
      </c>
      <c r="BX21" s="1603" t="s">
        <v>1642</v>
      </c>
      <c r="BZ21" s="1201">
        <v>4189712</v>
      </c>
      <c r="CA21" s="973" t="s">
        <v>1643</v>
      </c>
      <c r="CC21" s="1201">
        <v>4189710</v>
      </c>
      <c r="CD21" s="973" t="s">
        <v>1644</v>
      </c>
    </row>
    <row r="22" spans="1:82" ht="21" customHeight="1">
      <c r="A22" s="979" t="s">
        <v>1645</v>
      </c>
      <c r="B22" s="980">
        <v>2020</v>
      </c>
      <c r="N22" s="1058" t="s">
        <v>1646</v>
      </c>
      <c r="AW22" s="1023" t="s">
        <v>1636</v>
      </c>
      <c r="AX22" s="1023" t="s">
        <v>1636</v>
      </c>
      <c r="AZ22" s="1023" t="s">
        <v>1647</v>
      </c>
      <c r="BB22" s="1023" t="s">
        <v>1648</v>
      </c>
      <c r="BC22" s="1023" t="s">
        <v>1447</v>
      </c>
      <c r="BE22" s="1023">
        <v>2020</v>
      </c>
      <c r="BH22" s="973" t="s">
        <v>1573</v>
      </c>
      <c r="BJ22" s="973" t="s">
        <v>1518</v>
      </c>
      <c r="BL22" s="973" t="s">
        <v>1518</v>
      </c>
      <c r="BQ22" s="1201">
        <v>4190067</v>
      </c>
      <c r="BR22" s="973" t="s">
        <v>1649</v>
      </c>
      <c r="BS22" s="1343"/>
      <c r="BT22" s="1201">
        <v>4189674</v>
      </c>
      <c r="BU22" s="973" t="s">
        <v>1650</v>
      </c>
      <c r="BV22" s="975"/>
      <c r="BW22" s="975"/>
      <c r="CC22" s="1201">
        <v>4189711</v>
      </c>
      <c r="CD22" s="973" t="s">
        <v>411</v>
      </c>
    </row>
    <row r="23" spans="1:82" ht="21" customHeight="1">
      <c r="A23" s="979" t="s">
        <v>1651</v>
      </c>
      <c r="B23" s="980">
        <v>2021</v>
      </c>
      <c r="AW23" s="1023" t="s">
        <v>108</v>
      </c>
      <c r="AX23" s="1023" t="s">
        <v>108</v>
      </c>
      <c r="AZ23" s="1023" t="s">
        <v>1652</v>
      </c>
      <c r="BB23" s="1023" t="s">
        <v>1653</v>
      </c>
      <c r="BC23" s="1023" t="s">
        <v>1356</v>
      </c>
      <c r="BE23" s="1023">
        <v>2021</v>
      </c>
      <c r="BH23" s="973" t="s">
        <v>1581</v>
      </c>
      <c r="BJ23" s="973" t="s">
        <v>1534</v>
      </c>
      <c r="BL23" s="973" t="s">
        <v>1534</v>
      </c>
      <c r="BQ23" s="1201">
        <v>4190068</v>
      </c>
      <c r="BR23" s="973" t="s">
        <v>1654</v>
      </c>
      <c r="BS23" s="1343"/>
      <c r="BT23" s="1201">
        <v>4189675</v>
      </c>
      <c r="BU23" s="973" t="s">
        <v>1655</v>
      </c>
      <c r="BV23" s="975"/>
      <c r="BW23" s="975"/>
      <c r="CC23" s="1201">
        <v>5110778</v>
      </c>
      <c r="CD23" s="973" t="s">
        <v>1656</v>
      </c>
    </row>
    <row r="24" spans="1:82" ht="21" customHeight="1">
      <c r="A24" s="979" t="s">
        <v>1657</v>
      </c>
      <c r="B24" s="980">
        <v>2022</v>
      </c>
      <c r="AW24" s="1023" t="s">
        <v>1658</v>
      </c>
      <c r="AX24" s="1023" t="s">
        <v>1658</v>
      </c>
      <c r="AZ24" s="1023" t="s">
        <v>1659</v>
      </c>
      <c r="BB24" s="1023" t="s">
        <v>1660</v>
      </c>
      <c r="BC24" s="1023" t="s">
        <v>1661</v>
      </c>
      <c r="BE24" s="1023">
        <v>2022</v>
      </c>
      <c r="BH24" s="973" t="s">
        <v>1589</v>
      </c>
      <c r="BJ24" s="973" t="s">
        <v>1548</v>
      </c>
      <c r="BL24" s="973" t="s">
        <v>1548</v>
      </c>
      <c r="BQ24" s="1201">
        <v>4190069</v>
      </c>
      <c r="BR24" s="973" t="s">
        <v>1662</v>
      </c>
      <c r="BS24" s="1343"/>
      <c r="BT24" s="1201">
        <v>4189676</v>
      </c>
      <c r="BU24" s="973" t="s">
        <v>1663</v>
      </c>
      <c r="BV24" s="975"/>
      <c r="BW24" s="975"/>
      <c r="CC24" s="1201">
        <v>25575374</v>
      </c>
      <c r="CD24" s="973" t="s">
        <v>1664</v>
      </c>
    </row>
    <row r="25" spans="1:82" ht="11.25" customHeight="1">
      <c r="A25" s="979" t="s">
        <v>1665</v>
      </c>
      <c r="B25" s="980">
        <v>2023</v>
      </c>
      <c r="AW25" s="1023" t="s">
        <v>1666</v>
      </c>
      <c r="AX25" s="1023" t="s">
        <v>1666</v>
      </c>
      <c r="AZ25" s="1023" t="s">
        <v>1667</v>
      </c>
      <c r="BB25" s="1023" t="s">
        <v>1668</v>
      </c>
      <c r="BC25" s="1023" t="s">
        <v>1661</v>
      </c>
      <c r="BE25" s="1023">
        <v>2023</v>
      </c>
      <c r="BH25" s="973" t="s">
        <v>1595</v>
      </c>
      <c r="BJ25" s="973" t="s">
        <v>1619</v>
      </c>
      <c r="BL25" s="973" t="s">
        <v>1619</v>
      </c>
      <c r="BQ25" s="1201">
        <v>4190070</v>
      </c>
      <c r="BR25" s="973" t="s">
        <v>1669</v>
      </c>
      <c r="BS25" s="1343"/>
      <c r="BT25" s="1201">
        <v>4189677</v>
      </c>
      <c r="BU25" s="973" t="s">
        <v>1670</v>
      </c>
      <c r="BV25" s="975"/>
      <c r="BW25" s="975"/>
    </row>
    <row r="26" spans="1:82" ht="11.25" customHeight="1">
      <c r="A26" s="979" t="s">
        <v>1671</v>
      </c>
      <c r="B26" s="980">
        <v>2024</v>
      </c>
      <c r="J26" s="1640" t="s">
        <v>1672</v>
      </c>
      <c r="AX26" s="1023" t="s">
        <v>1673</v>
      </c>
      <c r="AZ26" s="1023" t="s">
        <v>1541</v>
      </c>
      <c r="BB26" s="1023" t="s">
        <v>1674</v>
      </c>
      <c r="BC26" s="1023" t="s">
        <v>1661</v>
      </c>
      <c r="BE26" s="1023">
        <v>2024</v>
      </c>
      <c r="BH26" s="973" t="s">
        <v>1605</v>
      </c>
      <c r="BJ26" s="973" t="s">
        <v>1559</v>
      </c>
      <c r="BL26" s="973" t="s">
        <v>1559</v>
      </c>
      <c r="BQ26" s="1201">
        <v>4190071</v>
      </c>
      <c r="BR26" s="973" t="s">
        <v>1675</v>
      </c>
      <c r="BS26" s="1343"/>
      <c r="BV26" s="975"/>
      <c r="BW26" s="975"/>
    </row>
    <row r="27" spans="1:82" ht="11.25" customHeight="1">
      <c r="A27" s="979" t="s">
        <v>1676</v>
      </c>
      <c r="B27" s="980">
        <v>2025</v>
      </c>
      <c r="J27" s="97" t="s">
        <v>102</v>
      </c>
      <c r="AX27" s="1023" t="s">
        <v>1677</v>
      </c>
      <c r="BB27" s="1023" t="s">
        <v>1678</v>
      </c>
      <c r="BC27" s="1023" t="s">
        <v>1661</v>
      </c>
      <c r="BE27" s="1023">
        <v>2025</v>
      </c>
      <c r="BH27" s="975" t="s">
        <v>24</v>
      </c>
      <c r="BJ27" s="973" t="s">
        <v>1566</v>
      </c>
      <c r="BL27" s="973" t="s">
        <v>1566</v>
      </c>
      <c r="BN27" s="975" t="s">
        <v>24</v>
      </c>
      <c r="BQ27" s="1201">
        <v>4190072</v>
      </c>
      <c r="BR27" s="973" t="s">
        <v>1679</v>
      </c>
      <c r="BS27" s="1343"/>
      <c r="BV27" s="975"/>
      <c r="BW27" s="975"/>
    </row>
    <row r="28" spans="1:82" ht="11.25" customHeight="1">
      <c r="A28" s="979" t="s">
        <v>1680</v>
      </c>
      <c r="D28" s="1004"/>
      <c r="E28" s="1005"/>
      <c r="F28" s="1005"/>
      <c r="H28" s="1006" t="s">
        <v>1681</v>
      </c>
      <c r="AX28" s="1023" t="s">
        <v>1682</v>
      </c>
      <c r="AZ28" s="972" t="s">
        <v>1683</v>
      </c>
      <c r="BB28" s="1023" t="s">
        <v>1684</v>
      </c>
      <c r="BC28" s="1023" t="s">
        <v>1685</v>
      </c>
      <c r="BE28" s="1023">
        <v>2026</v>
      </c>
      <c r="BH28" s="975" t="s">
        <v>24</v>
      </c>
      <c r="BJ28" s="973" t="s">
        <v>1573</v>
      </c>
      <c r="BL28" s="973" t="s">
        <v>1573</v>
      </c>
      <c r="BN28" s="975" t="s">
        <v>24</v>
      </c>
      <c r="BQ28" s="1201">
        <v>4190073</v>
      </c>
      <c r="BR28" s="973" t="s">
        <v>1686</v>
      </c>
      <c r="BS28" s="1343"/>
      <c r="BV28" s="975"/>
      <c r="BW28" s="975"/>
    </row>
    <row r="29" spans="1:82" ht="11.25" customHeight="1">
      <c r="A29" s="979" t="s">
        <v>1687</v>
      </c>
      <c r="D29" s="1007" t="s">
        <v>1688</v>
      </c>
      <c r="E29" s="1008">
        <f>IF(TEMPLATE_GROUP="","",INDEX(StartDateList,MATCH(TEMPLATE_GROUP,CodeTemplateList,0),1))</f>
        <v>45292.425983796296</v>
      </c>
      <c r="F29" s="1008">
        <f>IF(TEMPLATE_GROUP="","",INDEX(EndDateList,MATCH(TEMPLATE_GROUP,CodeTemplateList,0),1))</f>
        <v>47118.426053240742</v>
      </c>
      <c r="H29" s="1009" t="s">
        <v>1689</v>
      </c>
      <c r="AX29" s="1023" t="s">
        <v>1690</v>
      </c>
      <c r="AZ29" s="1023" t="s">
        <v>1344</v>
      </c>
      <c r="BB29" s="1023" t="s">
        <v>1541</v>
      </c>
      <c r="BC29" s="995"/>
      <c r="BE29" s="1023">
        <v>2027</v>
      </c>
      <c r="BJ29" s="973" t="s">
        <v>1581</v>
      </c>
      <c r="BL29" s="973" t="s">
        <v>1581</v>
      </c>
    </row>
    <row r="30" spans="1:82" ht="11.25" customHeight="1">
      <c r="A30" s="979" t="s">
        <v>1691</v>
      </c>
      <c r="D30" s="1010"/>
      <c r="E30" s="1011"/>
      <c r="F30" s="1011"/>
      <c r="AX30" s="1023" t="s">
        <v>1692</v>
      </c>
      <c r="AZ30" s="1023" t="s">
        <v>1368</v>
      </c>
      <c r="BE30" s="1023">
        <v>2028</v>
      </c>
      <c r="BJ30" s="973" t="s">
        <v>1693</v>
      </c>
      <c r="BL30" s="973" t="s">
        <v>1693</v>
      </c>
    </row>
    <row r="31" spans="1:82" ht="12.75" customHeight="1">
      <c r="A31" s="979" t="s">
        <v>1694</v>
      </c>
      <c r="D31" s="1004"/>
      <c r="E31" s="1005"/>
      <c r="F31" s="1005"/>
      <c r="H31" s="1012"/>
      <c r="AX31" s="1023" t="s">
        <v>1695</v>
      </c>
      <c r="AZ31" s="1023" t="s">
        <v>1696</v>
      </c>
      <c r="BE31" s="1023">
        <v>2029</v>
      </c>
      <c r="BJ31" s="973" t="s">
        <v>1697</v>
      </c>
      <c r="BL31" s="973" t="s">
        <v>1697</v>
      </c>
    </row>
    <row r="32" spans="1:82" ht="11.25" customHeight="1">
      <c r="A32" s="979" t="s">
        <v>1698</v>
      </c>
      <c r="D32" s="1007" t="s">
        <v>1699</v>
      </c>
      <c r="E32" s="1008">
        <f>IF(TEMPLATE_GROUP="","",INDEX(StartDateList,MATCH(TEMPLATE_GROUP,CodeTemplateList,0),1))</f>
        <v>45292.425983796296</v>
      </c>
      <c r="F32" s="1008">
        <f>IF(TEMPLATE_GROUP="","",INDEX(EndDateList,MATCH(TEMPLATE_GROUP,CodeTemplateList,0),1))</f>
        <v>47118.426053240742</v>
      </c>
      <c r="H32" s="1013" t="s">
        <v>1700</v>
      </c>
      <c r="O32" s="979" t="s">
        <v>567</v>
      </c>
      <c r="AX32" s="1023" t="s">
        <v>1701</v>
      </c>
      <c r="AZ32" s="1023" t="s">
        <v>1435</v>
      </c>
      <c r="BE32" s="1023">
        <v>2030</v>
      </c>
      <c r="BJ32" s="973" t="s">
        <v>1589</v>
      </c>
      <c r="BL32" s="973" t="s">
        <v>1589</v>
      </c>
    </row>
    <row r="33" spans="1:66" ht="11.25" customHeight="1">
      <c r="A33" s="979" t="s">
        <v>1702</v>
      </c>
      <c r="O33" s="979" t="s">
        <v>1365</v>
      </c>
      <c r="AX33" s="1023" t="s">
        <v>1703</v>
      </c>
      <c r="AZ33" s="1023" t="s">
        <v>566</v>
      </c>
      <c r="BE33" s="1023">
        <v>2031</v>
      </c>
      <c r="BJ33" s="973" t="s">
        <v>1595</v>
      </c>
      <c r="BL33" s="973" t="s">
        <v>1595</v>
      </c>
    </row>
    <row r="34" spans="1:66" ht="11.25" customHeight="1">
      <c r="A34" s="979" t="s">
        <v>1704</v>
      </c>
      <c r="O34" s="979" t="s">
        <v>1401</v>
      </c>
      <c r="AX34" s="1023" t="s">
        <v>1705</v>
      </c>
      <c r="BE34" s="1023">
        <v>2032</v>
      </c>
      <c r="BJ34" s="973" t="s">
        <v>1605</v>
      </c>
      <c r="BL34" s="973" t="s">
        <v>1605</v>
      </c>
    </row>
    <row r="35" spans="1:66" ht="11.25" customHeight="1">
      <c r="A35" s="979" t="s">
        <v>1706</v>
      </c>
      <c r="O35" s="979" t="s">
        <v>1433</v>
      </c>
      <c r="AX35" s="1023" t="s">
        <v>1707</v>
      </c>
      <c r="AZ35" s="972" t="s">
        <v>1708</v>
      </c>
      <c r="BE35" s="1023">
        <v>2033</v>
      </c>
      <c r="BL35" s="973" t="s">
        <v>1709</v>
      </c>
    </row>
    <row r="36" spans="1:66" ht="11.25" customHeight="1">
      <c r="A36" s="1779" t="s">
        <v>1710</v>
      </c>
      <c r="D36" s="1014" t="s">
        <v>1711</v>
      </c>
      <c r="E36" s="1015" t="s">
        <v>839</v>
      </c>
      <c r="F36" s="1016" t="str">
        <f>INDEX(E37:E41,MATCH(TEMPLATE_SPHERE,F37:F41,0))</f>
        <v>теплоснабжения</v>
      </c>
      <c r="G36" s="1016" t="str">
        <f>INDEX(G37:G41,MATCH(TEMPLATE_SPHERE,F37:F41,0))</f>
        <v>теплоснабжение</v>
      </c>
      <c r="O36" s="979" t="s">
        <v>1458</v>
      </c>
      <c r="AX36" s="1023" t="s">
        <v>1712</v>
      </c>
      <c r="AZ36" s="1023" t="s">
        <v>566</v>
      </c>
      <c r="BE36" s="1023">
        <v>2034</v>
      </c>
      <c r="BL36" s="973" t="s">
        <v>1713</v>
      </c>
    </row>
    <row r="37" spans="1:66" ht="11.25" customHeight="1">
      <c r="A37" s="979" t="s">
        <v>1714</v>
      </c>
      <c r="E37" s="341" t="s">
        <v>1715</v>
      </c>
      <c r="F37" s="1017" t="s">
        <v>839</v>
      </c>
      <c r="G37" s="341" t="s">
        <v>1716</v>
      </c>
      <c r="O37" s="979" t="s">
        <v>1477</v>
      </c>
      <c r="AX37" s="1023" t="s">
        <v>112</v>
      </c>
      <c r="AZ37" s="1023" t="s">
        <v>1367</v>
      </c>
      <c r="BE37" s="1023">
        <v>2035</v>
      </c>
    </row>
    <row r="38" spans="1:66" ht="11.25" customHeight="1">
      <c r="A38" s="979" t="s">
        <v>1717</v>
      </c>
      <c r="E38" s="341" t="s">
        <v>1718</v>
      </c>
      <c r="F38" s="1018" t="s">
        <v>885</v>
      </c>
      <c r="G38" s="341" t="s">
        <v>1719</v>
      </c>
      <c r="O38" s="979" t="s">
        <v>1493</v>
      </c>
      <c r="AX38" s="1023" t="s">
        <v>1720</v>
      </c>
      <c r="AZ38" s="1023" t="s">
        <v>1402</v>
      </c>
      <c r="BE38" s="1023">
        <v>2036</v>
      </c>
      <c r="BH38" s="972" t="s">
        <v>1721</v>
      </c>
      <c r="BJ38" s="972" t="s">
        <v>1722</v>
      </c>
      <c r="BL38" s="972" t="s">
        <v>1723</v>
      </c>
      <c r="BN38" s="972" t="s">
        <v>1724</v>
      </c>
    </row>
    <row r="39" spans="1:66" ht="11.25" customHeight="1">
      <c r="A39" s="979" t="s">
        <v>1725</v>
      </c>
      <c r="E39" s="341" t="s">
        <v>1726</v>
      </c>
      <c r="F39" s="1018" t="s">
        <v>937</v>
      </c>
      <c r="G39" s="341" t="s">
        <v>1727</v>
      </c>
      <c r="O39" s="979" t="s">
        <v>1509</v>
      </c>
      <c r="AX39" s="1023" t="s">
        <v>1728</v>
      </c>
      <c r="AZ39" s="1023" t="s">
        <v>1434</v>
      </c>
      <c r="BE39" s="1023">
        <v>2037</v>
      </c>
      <c r="BH39" s="973" t="s">
        <v>1729</v>
      </c>
      <c r="BJ39" s="1121" t="s">
        <v>1729</v>
      </c>
      <c r="BL39" s="1121" t="s">
        <v>1729</v>
      </c>
      <c r="BN39" s="973" t="s">
        <v>1730</v>
      </c>
    </row>
    <row r="40" spans="1:66" ht="11.25" customHeight="1">
      <c r="A40" s="979" t="s">
        <v>1731</v>
      </c>
      <c r="E40" s="341" t="s">
        <v>1732</v>
      </c>
      <c r="F40" s="1018" t="s">
        <v>923</v>
      </c>
      <c r="G40" s="341" t="s">
        <v>1733</v>
      </c>
      <c r="O40" s="979" t="s">
        <v>1525</v>
      </c>
      <c r="AX40" s="1023" t="s">
        <v>1734</v>
      </c>
      <c r="BE40" s="1023">
        <v>2038</v>
      </c>
      <c r="BH40" s="973" t="s">
        <v>1735</v>
      </c>
      <c r="BJ40" s="1121" t="s">
        <v>1058</v>
      </c>
      <c r="BL40" s="1121" t="s">
        <v>1058</v>
      </c>
      <c r="BN40" s="973" t="s">
        <v>1092</v>
      </c>
    </row>
    <row r="41" spans="1:66" ht="11.25" customHeight="1">
      <c r="A41" s="979" t="s">
        <v>1736</v>
      </c>
      <c r="E41" s="341" t="s">
        <v>1737</v>
      </c>
      <c r="F41" s="1018" t="s">
        <v>1738</v>
      </c>
      <c r="G41" s="341" t="s">
        <v>1737</v>
      </c>
      <c r="O41" s="979" t="s">
        <v>1541</v>
      </c>
      <c r="AX41" s="1023" t="s">
        <v>1739</v>
      </c>
      <c r="AZ41" s="972" t="s">
        <v>1740</v>
      </c>
      <c r="BE41" s="1023">
        <v>2039</v>
      </c>
      <c r="BH41" s="973" t="s">
        <v>1741</v>
      </c>
      <c r="BJ41" s="1121" t="s">
        <v>1054</v>
      </c>
      <c r="BL41" s="1121" t="s">
        <v>1054</v>
      </c>
      <c r="BN41" s="973" t="s">
        <v>1079</v>
      </c>
    </row>
    <row r="42" spans="1:66" ht="11.25" customHeight="1">
      <c r="A42" s="979" t="s">
        <v>1742</v>
      </c>
      <c r="AX42" s="1023" t="s">
        <v>1743</v>
      </c>
      <c r="AZ42" s="1023" t="s">
        <v>567</v>
      </c>
      <c r="BE42" s="1023">
        <v>2040</v>
      </c>
      <c r="BH42" s="973" t="s">
        <v>1076</v>
      </c>
      <c r="BJ42" s="1121" t="s">
        <v>1056</v>
      </c>
      <c r="BL42" s="1121" t="s">
        <v>1056</v>
      </c>
      <c r="BN42" s="973" t="s">
        <v>1744</v>
      </c>
    </row>
    <row r="43" spans="1:66" ht="11.25" customHeight="1">
      <c r="A43" s="979" t="s">
        <v>1745</v>
      </c>
      <c r="AX43" s="1023" t="s">
        <v>1746</v>
      </c>
      <c r="AZ43" s="1023" t="s">
        <v>1365</v>
      </c>
      <c r="BE43" s="1023">
        <v>2041</v>
      </c>
      <c r="BH43" s="973" t="s">
        <v>1747</v>
      </c>
      <c r="BJ43" s="1121" t="s">
        <v>1741</v>
      </c>
      <c r="BL43" s="1121" t="s">
        <v>1741</v>
      </c>
      <c r="BN43" s="973" t="s">
        <v>1748</v>
      </c>
    </row>
    <row r="44" spans="1:66" ht="11.25" customHeight="1">
      <c r="A44" s="979" t="s">
        <v>1749</v>
      </c>
      <c r="I44" s="716" t="s">
        <v>1750</v>
      </c>
      <c r="J44" s="994" t="s">
        <v>1751</v>
      </c>
      <c r="K44" s="994" t="s">
        <v>1752</v>
      </c>
      <c r="AX44" s="1023" t="s">
        <v>1753</v>
      </c>
      <c r="AZ44" s="1023" t="s">
        <v>1401</v>
      </c>
      <c r="BE44" s="1023">
        <v>2042</v>
      </c>
      <c r="BH44" s="973" t="s">
        <v>1754</v>
      </c>
      <c r="BJ44" s="1121" t="s">
        <v>1076</v>
      </c>
      <c r="BL44" s="1121" t="s">
        <v>1076</v>
      </c>
      <c r="BN44" s="973" t="s">
        <v>1755</v>
      </c>
    </row>
    <row r="45" spans="1:66" ht="11.25" customHeight="1">
      <c r="A45" s="979" t="s">
        <v>1756</v>
      </c>
      <c r="D45" s="1014" t="s">
        <v>1757</v>
      </c>
      <c r="E45" s="1015" t="s">
        <v>1758</v>
      </c>
      <c r="F45" s="714" t="s">
        <v>1759</v>
      </c>
      <c r="G45" s="713" t="s">
        <v>1760</v>
      </c>
      <c r="H45" s="716" t="s">
        <v>1761</v>
      </c>
      <c r="I45" s="1649" t="b">
        <f>INDEX(PeriodIsEmptyList,MATCH(TEMPLATE_GROUP,CodeTemplateList,0),1)</f>
        <v>0</v>
      </c>
      <c r="J45" s="1652" t="str">
        <f>INDEX(NameTemplatesInTitleList,MATCH(TEMPLATE_GROUP,CodeTemplateList,0),1)</f>
        <v>Показатели, подлежащие раскрытию в сфере теплоснабжения (цены и тарифы)</v>
      </c>
      <c r="K45" s="16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117</v>
      </c>
      <c r="AZ45" s="1023" t="s">
        <v>1433</v>
      </c>
      <c r="BE45" s="1023">
        <v>2043</v>
      </c>
      <c r="BH45" s="973" t="s">
        <v>1762</v>
      </c>
      <c r="BJ45" s="1121" t="s">
        <v>1070</v>
      </c>
      <c r="BL45" s="1121" t="s">
        <v>1070</v>
      </c>
      <c r="BN45" s="973" t="s">
        <v>1763</v>
      </c>
    </row>
    <row r="46" spans="1:66" ht="11.25" customHeight="1">
      <c r="A46" s="979" t="s">
        <v>1764</v>
      </c>
      <c r="E46" s="341" t="s">
        <v>22</v>
      </c>
      <c r="F46" s="1017" t="s">
        <v>1765</v>
      </c>
      <c r="G46" s="1019"/>
      <c r="H46" s="1019"/>
      <c r="I46" s="1650" t="b">
        <f>IF(TITLE_DATE_FIL="",TRUE,FALSE)</f>
        <v>1</v>
      </c>
      <c r="J46" s="1653" t="str">
        <f>"Общая информация о регулируемой организации ("&amp;TEMPLATE_SPHERE_RUS&amp;")"</f>
        <v>Общая информация о регулируемой организации (теплоснабжения)</v>
      </c>
      <c r="K46" s="1654"/>
      <c r="AX46" s="1023" t="s">
        <v>1766</v>
      </c>
      <c r="AZ46" s="1023" t="s">
        <v>1458</v>
      </c>
      <c r="BE46" s="1023">
        <v>2044</v>
      </c>
      <c r="BH46" s="973" t="s">
        <v>1079</v>
      </c>
      <c r="BJ46" s="1121" t="s">
        <v>1060</v>
      </c>
      <c r="BL46" s="1121" t="s">
        <v>1060</v>
      </c>
      <c r="BN46" s="973" t="s">
        <v>1767</v>
      </c>
    </row>
    <row r="47" spans="1:66" ht="11.25" customHeight="1">
      <c r="A47" s="979" t="s">
        <v>1768</v>
      </c>
      <c r="E47" s="341" t="s">
        <v>29</v>
      </c>
      <c r="F47" s="1018" t="s">
        <v>1769</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1" t="b">
        <f>IF(OR(f_year="",f_quart=""),TRUE,FALSE)</f>
        <v>1</v>
      </c>
      <c r="J47" s="16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4"/>
      <c r="AX47" s="1023" t="s">
        <v>1770</v>
      </c>
      <c r="AZ47" s="1023" t="s">
        <v>1477</v>
      </c>
      <c r="BE47" s="1023">
        <v>2045</v>
      </c>
      <c r="BH47" s="973" t="s">
        <v>1744</v>
      </c>
      <c r="BJ47" s="1121" t="s">
        <v>1062</v>
      </c>
      <c r="BL47" s="1121" t="s">
        <v>1062</v>
      </c>
      <c r="BN47" s="973" t="s">
        <v>1771</v>
      </c>
    </row>
    <row r="48" spans="1:66" ht="11.25" customHeight="1">
      <c r="A48" s="979" t="s">
        <v>1772</v>
      </c>
      <c r="E48" s="341" t="s">
        <v>1773</v>
      </c>
      <c r="F48" s="1018" t="s">
        <v>1774</v>
      </c>
      <c r="G48" s="1020" t="str">
        <f>IF(f_year="","","01.01."&amp;f_year)</f>
        <v/>
      </c>
      <c r="H48" s="1020" t="str">
        <f>IF(f_year="","","31.12."&amp;f_year)</f>
        <v/>
      </c>
      <c r="I48" s="1650" t="b">
        <f>IF(f_year="",TRUE,FALSE)</f>
        <v>1</v>
      </c>
      <c r="J48" s="1653" t="s">
        <v>1775</v>
      </c>
      <c r="K48" s="1654"/>
      <c r="AX48" s="1023" t="s">
        <v>1776</v>
      </c>
      <c r="AZ48" s="1023" t="s">
        <v>1493</v>
      </c>
      <c r="BE48" s="1023">
        <v>2046</v>
      </c>
      <c r="BH48" s="973" t="s">
        <v>1748</v>
      </c>
      <c r="BJ48" s="1121" t="s">
        <v>1064</v>
      </c>
      <c r="BL48" s="1121" t="s">
        <v>1064</v>
      </c>
      <c r="BN48" s="973" t="s">
        <v>1777</v>
      </c>
    </row>
    <row r="49" spans="1:64" ht="11.25" customHeight="1">
      <c r="A49" s="979" t="s">
        <v>1778</v>
      </c>
      <c r="E49" s="341" t="s">
        <v>1779</v>
      </c>
      <c r="F49" s="1018" t="s">
        <v>1780</v>
      </c>
      <c r="G49" s="1020" t="str">
        <f>IF(f_year="","","01.01."&amp;f_year)</f>
        <v/>
      </c>
      <c r="H49" s="1020" t="str">
        <f>IF(f_year="","","31.12."&amp;f_year)</f>
        <v/>
      </c>
      <c r="I49" s="1650" t="b">
        <f>IF(f_year="",TRUE,FALSE)</f>
        <v>1</v>
      </c>
      <c r="J49" s="16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4"/>
      <c r="AX49" s="1023" t="s">
        <v>1781</v>
      </c>
      <c r="AZ49" s="1023" t="s">
        <v>1509</v>
      </c>
      <c r="BE49" s="1023">
        <v>2047</v>
      </c>
      <c r="BH49" s="973" t="s">
        <v>1080</v>
      </c>
      <c r="BJ49" s="1121" t="s">
        <v>1066</v>
      </c>
      <c r="BL49" s="1121" t="s">
        <v>1066</v>
      </c>
    </row>
    <row r="50" spans="1:64" ht="11.25" customHeight="1">
      <c r="A50" s="979" t="s">
        <v>1782</v>
      </c>
      <c r="E50" s="341" t="s">
        <v>1783</v>
      </c>
      <c r="F50" s="1018" t="s">
        <v>1050</v>
      </c>
      <c r="G50" s="1020" t="str">
        <f>IF(f_year="","","01.01."&amp;f_year)</f>
        <v/>
      </c>
      <c r="H50" s="1020" t="str">
        <f>IF(f_year="","","31.12."&amp;f_year)</f>
        <v/>
      </c>
      <c r="I50" s="1650" t="b">
        <f>IF(f_year="",TRUE,FALSE)</f>
        <v>1</v>
      </c>
      <c r="J50" s="16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4"/>
      <c r="AX50" s="1023" t="s">
        <v>1784</v>
      </c>
      <c r="AZ50" s="1023" t="s">
        <v>1525</v>
      </c>
      <c r="BE50" s="1023">
        <v>2048</v>
      </c>
      <c r="BH50" s="973" t="s">
        <v>1755</v>
      </c>
      <c r="BJ50" s="1121" t="s">
        <v>1068</v>
      </c>
      <c r="BL50" s="1121" t="s">
        <v>1068</v>
      </c>
    </row>
    <row r="51" spans="1:64" ht="11.25" customHeight="1">
      <c r="A51" s="979" t="s">
        <v>1785</v>
      </c>
      <c r="E51" s="341" t="s">
        <v>1786</v>
      </c>
      <c r="F51" s="1018" t="s">
        <v>1787</v>
      </c>
      <c r="G51" s="1020">
        <f>IF(TITLE_PERIOD_START="","",TITLE_PERIOD_START)</f>
        <v>45292.425983796296</v>
      </c>
      <c r="H51" s="1020">
        <f>IF(TITLE_PERIOD_END="","",TITLE_PERIOD_END)</f>
        <v>47118.426053240742</v>
      </c>
      <c r="I51" s="1651" t="b">
        <f>IF(OR(TITLE_PERIOD_START="",TITLE_PERIOD_END=""),TRUE,FALSE)</f>
        <v>0</v>
      </c>
      <c r="J51" s="16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4"/>
      <c r="AX51" s="1023" t="s">
        <v>1788</v>
      </c>
      <c r="AZ51" s="1023" t="s">
        <v>1541</v>
      </c>
      <c r="BE51" s="1023">
        <v>2049</v>
      </c>
      <c r="BH51" s="973" t="s">
        <v>1763</v>
      </c>
      <c r="BJ51" s="1121" t="s">
        <v>1789</v>
      </c>
      <c r="BL51" s="1121" t="s">
        <v>1789</v>
      </c>
    </row>
    <row r="52" spans="1:64" ht="11.25" customHeight="1">
      <c r="A52" s="979" t="s">
        <v>1790</v>
      </c>
      <c r="E52" s="341" t="s">
        <v>1791</v>
      </c>
      <c r="F52" s="1018" t="s">
        <v>1758</v>
      </c>
      <c r="G52" s="1020">
        <f>IF(TITLE_PERIOD_START="","",TITLE_PERIOD_START)</f>
        <v>45292.425983796296</v>
      </c>
      <c r="H52" s="1020">
        <f>IF(TITLE_PERIOD_END="","",TITLE_PERIOD_END)</f>
        <v>47118.426053240742</v>
      </c>
      <c r="I52" s="1651" t="b">
        <f>IF(OR(TITLE_PERIOD_START="",TITLE_PERIOD_END=""),TRUE,FALSE)</f>
        <v>0</v>
      </c>
      <c r="J52" s="1653" t="str">
        <f>"Показатели, подлежащие раскрытию в сфере "&amp;TEMPLATE_SPHERE_RUS&amp;" (цены и тарифы)"</f>
        <v>Показатели, подлежащие раскрытию в сфере теплоснабжения (цены и тарифы)</v>
      </c>
      <c r="K52" s="1654"/>
      <c r="AX52" s="1023" t="s">
        <v>1792</v>
      </c>
      <c r="AZ52" s="1023" t="s">
        <v>566</v>
      </c>
      <c r="BE52" s="1023">
        <v>2050</v>
      </c>
      <c r="BH52" s="973" t="s">
        <v>1767</v>
      </c>
      <c r="BJ52" s="1121" t="s">
        <v>1079</v>
      </c>
      <c r="BL52" s="1121" t="s">
        <v>1079</v>
      </c>
    </row>
    <row r="53" spans="1:64" ht="11.25" customHeight="1">
      <c r="A53" s="979" t="s">
        <v>1793</v>
      </c>
      <c r="E53" s="341" t="s">
        <v>1794</v>
      </c>
      <c r="F53" s="1018" t="s">
        <v>1794</v>
      </c>
      <c r="G53" s="1020" t="str">
        <f>IF(f_year="","","01.01."&amp;f_year)</f>
        <v/>
      </c>
      <c r="H53" s="1020" t="str">
        <f>IF(f_year="","","31.12."&amp;f_year)</f>
        <v/>
      </c>
      <c r="I53" s="1650" t="b">
        <f>IF(AND(f_year="",TITLE_DATE_FIL=""),TRUE,FALSE)</f>
        <v>1</v>
      </c>
      <c r="J53" s="1653" t="s">
        <v>1795</v>
      </c>
      <c r="K53" s="1654"/>
      <c r="AX53" s="1023" t="s">
        <v>1796</v>
      </c>
      <c r="BE53" s="1023">
        <v>2051</v>
      </c>
      <c r="BH53" s="973" t="s">
        <v>1771</v>
      </c>
      <c r="BJ53" s="1121" t="s">
        <v>1744</v>
      </c>
      <c r="BL53" s="1121" t="s">
        <v>1744</v>
      </c>
    </row>
    <row r="54" spans="1:64" ht="11.25" customHeight="1">
      <c r="A54" s="979" t="s">
        <v>1797</v>
      </c>
      <c r="AX54" s="1023" t="s">
        <v>1798</v>
      </c>
      <c r="AZ54" s="972" t="s">
        <v>1799</v>
      </c>
      <c r="BE54" s="1023">
        <v>2052</v>
      </c>
      <c r="BH54" s="973" t="s">
        <v>1777</v>
      </c>
      <c r="BJ54" s="1121" t="s">
        <v>1748</v>
      </c>
      <c r="BL54" s="1121" t="s">
        <v>1748</v>
      </c>
    </row>
    <row r="55" spans="1:64" ht="11.25" customHeight="1">
      <c r="A55" s="979" t="s">
        <v>1800</v>
      </c>
      <c r="AX55" s="1023" t="s">
        <v>1801</v>
      </c>
      <c r="AZ55" s="1023" t="s">
        <v>601</v>
      </c>
      <c r="BE55" s="1023">
        <v>2053</v>
      </c>
      <c r="BH55" s="975" t="s">
        <v>24</v>
      </c>
      <c r="BJ55" s="1121" t="s">
        <v>1080</v>
      </c>
      <c r="BL55" s="1121" t="s">
        <v>1080</v>
      </c>
    </row>
    <row r="56" spans="1:64" ht="11.25" customHeight="1">
      <c r="A56" s="979" t="s">
        <v>1802</v>
      </c>
      <c r="D56" s="1022" t="s">
        <v>1803</v>
      </c>
      <c r="E56" s="999">
        <v>70</v>
      </c>
      <c r="F56" s="979" t="s">
        <v>1804</v>
      </c>
      <c r="AX56" s="1023" t="s">
        <v>1805</v>
      </c>
      <c r="AZ56" s="1023" t="s">
        <v>1369</v>
      </c>
      <c r="BE56" s="1023">
        <v>2054</v>
      </c>
      <c r="BH56" s="975" t="s">
        <v>24</v>
      </c>
      <c r="BJ56" s="1121" t="s">
        <v>1755</v>
      </c>
      <c r="BL56" s="1121" t="s">
        <v>1755</v>
      </c>
    </row>
    <row r="57" spans="1:64" ht="11.25" customHeight="1">
      <c r="A57" s="979" t="s">
        <v>1806</v>
      </c>
      <c r="D57" s="1022" t="s">
        <v>1807</v>
      </c>
      <c r="E57" s="999">
        <v>66</v>
      </c>
      <c r="F57" s="979" t="s">
        <v>1804</v>
      </c>
      <c r="AX57" s="1023" t="s">
        <v>121</v>
      </c>
      <c r="AZ57" s="1023" t="s">
        <v>1404</v>
      </c>
      <c r="BE57" s="1023">
        <v>2055</v>
      </c>
      <c r="BJ57" s="1121" t="s">
        <v>1763</v>
      </c>
      <c r="BL57" s="1121" t="s">
        <v>1763</v>
      </c>
    </row>
    <row r="58" spans="1:64" ht="11.25" customHeight="1">
      <c r="A58" s="979" t="s">
        <v>1808</v>
      </c>
      <c r="D58" s="1022" t="s">
        <v>1809</v>
      </c>
      <c r="E58" s="999">
        <v>44</v>
      </c>
      <c r="F58" s="979" t="s">
        <v>1804</v>
      </c>
      <c r="AX58" s="1023" t="s">
        <v>1810</v>
      </c>
      <c r="BE58" s="1023">
        <v>2056</v>
      </c>
      <c r="BJ58" s="1121" t="s">
        <v>1767</v>
      </c>
      <c r="BL58" s="1121" t="s">
        <v>1767</v>
      </c>
    </row>
    <row r="59" spans="1:64" ht="11.25" customHeight="1">
      <c r="A59" s="979" t="s">
        <v>1811</v>
      </c>
      <c r="D59" s="1022" t="s">
        <v>197</v>
      </c>
      <c r="E59" s="999" t="s">
        <v>1636</v>
      </c>
      <c r="F59" s="979" t="s">
        <v>1812</v>
      </c>
      <c r="AX59" s="1023" t="s">
        <v>1813</v>
      </c>
      <c r="AZ59" s="972" t="s">
        <v>1814</v>
      </c>
      <c r="BE59" s="1023">
        <v>2057</v>
      </c>
      <c r="BJ59" s="1121" t="s">
        <v>1771</v>
      </c>
      <c r="BL59" s="1121" t="s">
        <v>1771</v>
      </c>
    </row>
    <row r="60" spans="1:64" ht="11.25" customHeight="1">
      <c r="A60" s="979" t="s">
        <v>1815</v>
      </c>
      <c r="D60" s="1022" t="s">
        <v>1816</v>
      </c>
      <c r="E60" s="999" t="s">
        <v>1636</v>
      </c>
      <c r="F60" s="979" t="s">
        <v>1812</v>
      </c>
      <c r="AX60" s="1023" t="s">
        <v>1817</v>
      </c>
      <c r="AZ60" s="1023" t="s">
        <v>602</v>
      </c>
      <c r="BE60" s="1023">
        <v>2058</v>
      </c>
      <c r="BJ60" s="1121" t="s">
        <v>1777</v>
      </c>
      <c r="BL60" s="1121" t="s">
        <v>1777</v>
      </c>
    </row>
    <row r="61" spans="1:64" ht="11.25" customHeight="1">
      <c r="A61" s="979" t="s">
        <v>14</v>
      </c>
      <c r="D61" s="1022" t="s">
        <v>1818</v>
      </c>
      <c r="E61" s="999">
        <v>26</v>
      </c>
      <c r="F61" s="979" t="s">
        <v>1812</v>
      </c>
      <c r="AX61" s="1023" t="s">
        <v>1819</v>
      </c>
      <c r="AZ61" s="1023" t="s">
        <v>1370</v>
      </c>
      <c r="BE61" s="1023">
        <v>2059</v>
      </c>
      <c r="BL61" s="1121" t="s">
        <v>1072</v>
      </c>
    </row>
    <row r="62" spans="1:64" ht="11.25" customHeight="1">
      <c r="A62" s="979" t="s">
        <v>1820</v>
      </c>
      <c r="D62" s="1022" t="s">
        <v>196</v>
      </c>
      <c r="E62" s="999">
        <v>51</v>
      </c>
      <c r="F62" s="979" t="s">
        <v>1812</v>
      </c>
      <c r="AZ62" s="1023" t="s">
        <v>1405</v>
      </c>
      <c r="BE62" s="1023">
        <v>2060</v>
      </c>
      <c r="BL62" s="1121" t="s">
        <v>1074</v>
      </c>
    </row>
    <row r="63" spans="1:64" ht="11.25" customHeight="1">
      <c r="A63" s="979" t="s">
        <v>1821</v>
      </c>
      <c r="D63" s="1022" t="s">
        <v>1822</v>
      </c>
      <c r="E63" s="999">
        <v>51</v>
      </c>
      <c r="F63" s="979" t="s">
        <v>1812</v>
      </c>
      <c r="AZ63" s="1023" t="s">
        <v>1436</v>
      </c>
      <c r="BE63" s="1023">
        <v>2061</v>
      </c>
    </row>
    <row r="64" spans="1:64" ht="11.25" customHeight="1">
      <c r="A64" s="979" t="s">
        <v>1823</v>
      </c>
      <c r="D64" s="1022" t="s">
        <v>1824</v>
      </c>
      <c r="E64" s="999">
        <v>51</v>
      </c>
      <c r="F64" s="979" t="s">
        <v>1812</v>
      </c>
      <c r="AZ64" s="1023" t="s">
        <v>1459</v>
      </c>
      <c r="BE64" s="1023">
        <v>2062</v>
      </c>
    </row>
    <row r="65" spans="1:66" ht="11.25" customHeight="1">
      <c r="A65" s="979" t="s">
        <v>1825</v>
      </c>
      <c r="D65" s="979"/>
      <c r="BE65" s="1023">
        <v>2063</v>
      </c>
    </row>
    <row r="66" spans="1:66" ht="11.25" customHeight="1">
      <c r="A66" s="979" t="s">
        <v>1826</v>
      </c>
      <c r="AZ66" s="972" t="s">
        <v>1827</v>
      </c>
      <c r="BE66" s="1023">
        <v>2064</v>
      </c>
    </row>
    <row r="67" spans="1:66" ht="11.25" customHeight="1">
      <c r="A67" s="979" t="s">
        <v>1828</v>
      </c>
      <c r="AZ67" s="1023" t="s">
        <v>1345</v>
      </c>
      <c r="BE67" s="1023">
        <v>2065</v>
      </c>
    </row>
    <row r="68" spans="1:66" ht="11.25" customHeight="1">
      <c r="A68" s="979" t="s">
        <v>1829</v>
      </c>
      <c r="AZ68" s="1023" t="s">
        <v>1371</v>
      </c>
      <c r="BE68" s="1023">
        <v>2066</v>
      </c>
      <c r="BH68" s="972" t="s">
        <v>1830</v>
      </c>
      <c r="BJ68" s="972" t="s">
        <v>1831</v>
      </c>
      <c r="BL68" s="972" t="s">
        <v>1832</v>
      </c>
      <c r="BN68" s="972" t="s">
        <v>1833</v>
      </c>
    </row>
    <row r="69" spans="1:66" ht="11.25" customHeight="1">
      <c r="A69" s="979" t="s">
        <v>1834</v>
      </c>
      <c r="AZ69" s="1023" t="s">
        <v>605</v>
      </c>
      <c r="BE69" s="1023">
        <v>2067</v>
      </c>
      <c r="BH69" s="973" t="s">
        <v>1835</v>
      </c>
      <c r="BI69" s="1021" t="s">
        <v>178</v>
      </c>
      <c r="BJ69" s="973" t="s">
        <v>1836</v>
      </c>
      <c r="BK69" s="1021" t="s">
        <v>178</v>
      </c>
      <c r="BL69" s="973" t="s">
        <v>1837</v>
      </c>
      <c r="BN69" s="973" t="s">
        <v>1838</v>
      </c>
    </row>
    <row r="70" spans="1:66" ht="11.25" customHeight="1">
      <c r="A70" s="979" t="s">
        <v>1839</v>
      </c>
      <c r="AZ70" s="1023" t="s">
        <v>1437</v>
      </c>
      <c r="BE70" s="1023">
        <v>2068</v>
      </c>
      <c r="BH70" s="973" t="s">
        <v>1840</v>
      </c>
      <c r="BJ70" s="973" t="s">
        <v>1841</v>
      </c>
      <c r="BL70" s="973" t="s">
        <v>1842</v>
      </c>
      <c r="BN70" s="973" t="s">
        <v>1843</v>
      </c>
    </row>
    <row r="71" spans="1:66" ht="11.25" customHeight="1">
      <c r="A71" s="979" t="s">
        <v>1844</v>
      </c>
      <c r="AZ71" s="1023" t="s">
        <v>1439</v>
      </c>
      <c r="BE71" s="1023">
        <v>2069</v>
      </c>
      <c r="BH71" s="973" t="s">
        <v>1845</v>
      </c>
      <c r="BI71" s="1021" t="s">
        <v>89</v>
      </c>
      <c r="BJ71" s="973" t="s">
        <v>1846</v>
      </c>
      <c r="BK71" s="1021" t="s">
        <v>89</v>
      </c>
      <c r="BL71" s="973" t="s">
        <v>1847</v>
      </c>
      <c r="BN71" s="973" t="s">
        <v>1848</v>
      </c>
    </row>
    <row r="72" spans="1:66" ht="11.25" customHeight="1">
      <c r="A72" s="979" t="s">
        <v>1849</v>
      </c>
      <c r="AZ72" s="1023" t="s">
        <v>56</v>
      </c>
      <c r="BE72" s="1023">
        <v>2070</v>
      </c>
      <c r="BH72" s="973" t="s">
        <v>1850</v>
      </c>
      <c r="BJ72" s="973" t="s">
        <v>1850</v>
      </c>
      <c r="BL72" s="973" t="s">
        <v>1850</v>
      </c>
      <c r="BN72" s="973" t="s">
        <v>1851</v>
      </c>
    </row>
    <row r="73" spans="1:66" ht="11.25" customHeight="1">
      <c r="A73" s="979" t="s">
        <v>1852</v>
      </c>
      <c r="BH73" s="973" t="s">
        <v>1853</v>
      </c>
      <c r="BI73" s="1021" t="s">
        <v>115</v>
      </c>
      <c r="BJ73" s="973" t="s">
        <v>1854</v>
      </c>
      <c r="BK73" s="1021" t="s">
        <v>115</v>
      </c>
      <c r="BL73" s="973" t="s">
        <v>1855</v>
      </c>
      <c r="BN73" s="973" t="s">
        <v>1856</v>
      </c>
    </row>
    <row r="74" spans="1:66" ht="11.25" customHeight="1">
      <c r="A74" s="979" t="s">
        <v>1857</v>
      </c>
      <c r="BH74" s="973" t="s">
        <v>1858</v>
      </c>
      <c r="BJ74" s="973" t="s">
        <v>1859</v>
      </c>
      <c r="BL74" s="973" t="s">
        <v>1860</v>
      </c>
      <c r="BN74" s="973" t="s">
        <v>1861</v>
      </c>
    </row>
    <row r="75" spans="1:66" ht="11.25" customHeight="1">
      <c r="A75" s="979" t="s">
        <v>1862</v>
      </c>
      <c r="AZ75" s="972" t="s">
        <v>1863</v>
      </c>
      <c r="BH75" s="973" t="s">
        <v>1864</v>
      </c>
      <c r="BJ75" s="973" t="s">
        <v>1864</v>
      </c>
      <c r="BL75" s="973" t="s">
        <v>1864</v>
      </c>
    </row>
    <row r="76" spans="1:66" ht="11.25" customHeight="1">
      <c r="A76" s="979" t="s">
        <v>1865</v>
      </c>
      <c r="AZ76" s="1023" t="s">
        <v>1353</v>
      </c>
      <c r="BH76" s="973" t="s">
        <v>1866</v>
      </c>
      <c r="BJ76" s="973" t="s">
        <v>1867</v>
      </c>
      <c r="BL76" s="973" t="s">
        <v>1868</v>
      </c>
    </row>
    <row r="77" spans="1:66" ht="11.25" customHeight="1">
      <c r="A77" s="979" t="s">
        <v>1869</v>
      </c>
      <c r="AZ77" s="1023" t="s">
        <v>1381</v>
      </c>
    </row>
    <row r="78" spans="1:66" ht="11.25" customHeight="1">
      <c r="A78" s="979" t="s">
        <v>1870</v>
      </c>
      <c r="AZ78" s="1023" t="s">
        <v>1412</v>
      </c>
    </row>
    <row r="79" spans="1:66" ht="11.25" customHeight="1">
      <c r="A79" s="979" t="s">
        <v>1871</v>
      </c>
      <c r="AZ79" s="1023" t="s">
        <v>1443</v>
      </c>
      <c r="BH79" s="972" t="s">
        <v>1872</v>
      </c>
      <c r="BJ79" s="972" t="s">
        <v>1873</v>
      </c>
      <c r="BL79" s="972" t="s">
        <v>1874</v>
      </c>
    </row>
    <row r="80" spans="1:66" ht="11.25" customHeight="1">
      <c r="A80" s="979" t="s">
        <v>1875</v>
      </c>
      <c r="AZ80" s="1023" t="s">
        <v>1464</v>
      </c>
      <c r="BH80" s="973" t="s">
        <v>1876</v>
      </c>
      <c r="BJ80" s="973" t="s">
        <v>1877</v>
      </c>
      <c r="BL80" s="973" t="s">
        <v>1878</v>
      </c>
    </row>
    <row r="81" spans="1:66" ht="11.25" customHeight="1">
      <c r="A81" s="979" t="s">
        <v>1879</v>
      </c>
      <c r="AZ81" s="1023" t="s">
        <v>1481</v>
      </c>
      <c r="BH81" s="973" t="s">
        <v>1880</v>
      </c>
      <c r="BJ81" s="973" t="s">
        <v>1881</v>
      </c>
      <c r="BL81" s="973" t="s">
        <v>1882</v>
      </c>
    </row>
    <row r="82" spans="1:66" ht="11.25" customHeight="1">
      <c r="A82" s="979" t="s">
        <v>1883</v>
      </c>
      <c r="AZ82" s="1023" t="s">
        <v>1495</v>
      </c>
      <c r="BH82" s="973" t="s">
        <v>1884</v>
      </c>
      <c r="BJ82" s="973" t="s">
        <v>1885</v>
      </c>
      <c r="BL82" s="973" t="s">
        <v>1886</v>
      </c>
    </row>
    <row r="83" spans="1:66" ht="11.25" customHeight="1">
      <c r="A83" s="979" t="s">
        <v>1887</v>
      </c>
      <c r="BH83" s="973" t="s">
        <v>1888</v>
      </c>
      <c r="BJ83" s="973" t="s">
        <v>1889</v>
      </c>
      <c r="BL83" s="973" t="s">
        <v>1890</v>
      </c>
    </row>
    <row r="84" spans="1:66" ht="11.25" customHeight="1">
      <c r="A84" s="979" t="s">
        <v>1891</v>
      </c>
      <c r="AZ84" s="972" t="s">
        <v>1892</v>
      </c>
    </row>
    <row r="85" spans="1:66" ht="11.25" customHeight="1">
      <c r="A85" s="1779" t="s">
        <v>1893</v>
      </c>
      <c r="AZ85" s="1023" t="s">
        <v>1894</v>
      </c>
    </row>
    <row r="86" spans="1:66" ht="11.25" customHeight="1">
      <c r="A86" s="979" t="s">
        <v>1895</v>
      </c>
      <c r="AZ86" s="1023" t="s">
        <v>1896</v>
      </c>
      <c r="BH86" s="972" t="s">
        <v>1897</v>
      </c>
      <c r="BJ86" s="972" t="s">
        <v>1898</v>
      </c>
      <c r="BL86" s="972" t="s">
        <v>1899</v>
      </c>
    </row>
    <row r="87" spans="1:66" ht="11.25" customHeight="1">
      <c r="A87" s="979" t="s">
        <v>1900</v>
      </c>
      <c r="AZ87" s="1023" t="s">
        <v>1901</v>
      </c>
      <c r="BH87" s="973" t="s">
        <v>1902</v>
      </c>
      <c r="BJ87" s="973" t="s">
        <v>1903</v>
      </c>
      <c r="BL87" s="973" t="s">
        <v>1904</v>
      </c>
    </row>
    <row r="88" spans="1:66" ht="11.25" customHeight="1">
      <c r="A88" s="979" t="s">
        <v>1905</v>
      </c>
      <c r="AZ88" s="1522"/>
      <c r="BH88" s="973" t="s">
        <v>1906</v>
      </c>
      <c r="BJ88" s="973" t="s">
        <v>1907</v>
      </c>
      <c r="BL88" s="973" t="s">
        <v>1908</v>
      </c>
    </row>
    <row r="89" spans="1:66" ht="11.25" customHeight="1">
      <c r="A89" s="979" t="s">
        <v>1909</v>
      </c>
      <c r="AZ89" s="972" t="s">
        <v>1910</v>
      </c>
    </row>
    <row r="90" spans="1:66" ht="11.25" customHeight="1">
      <c r="A90" s="979" t="s">
        <v>1911</v>
      </c>
      <c r="AZ90" s="1023" t="s">
        <v>1050</v>
      </c>
    </row>
    <row r="91" spans="1:66" ht="11.25" customHeight="1">
      <c r="A91" s="979" t="s">
        <v>1912</v>
      </c>
      <c r="AZ91" s="1023" t="s">
        <v>1086</v>
      </c>
      <c r="BH91" s="972" t="s">
        <v>1913</v>
      </c>
      <c r="BJ91" s="972" t="s">
        <v>1914</v>
      </c>
      <c r="BL91" s="972" t="s">
        <v>1915</v>
      </c>
    </row>
    <row r="92" spans="1:66" ht="11.25" customHeight="1">
      <c r="AZ92" s="1023" t="s">
        <v>1916</v>
      </c>
      <c r="BH92" s="973" t="s">
        <v>1917</v>
      </c>
      <c r="BJ92" s="973" t="s">
        <v>1918</v>
      </c>
      <c r="BL92" s="973" t="s">
        <v>1919</v>
      </c>
    </row>
    <row r="93" spans="1:66" ht="11.25" customHeight="1">
      <c r="AZ93" s="1023" t="s">
        <v>1920</v>
      </c>
      <c r="BH93" s="973" t="s">
        <v>1921</v>
      </c>
      <c r="BJ93" s="973" t="s">
        <v>1922</v>
      </c>
      <c r="BL93" s="973" t="s">
        <v>1923</v>
      </c>
    </row>
    <row r="94" spans="1:66" ht="11.25" customHeight="1">
      <c r="AZ94" s="1023" t="s">
        <v>1924</v>
      </c>
    </row>
    <row r="96" spans="1:66" ht="11.25" customHeight="1">
      <c r="AZ96" s="972" t="s">
        <v>1925</v>
      </c>
      <c r="BH96" s="972" t="s">
        <v>1926</v>
      </c>
      <c r="BJ96" s="972" t="s">
        <v>1927</v>
      </c>
      <c r="BL96" s="972" t="s">
        <v>1928</v>
      </c>
      <c r="BN96" s="972" t="s">
        <v>1929</v>
      </c>
    </row>
    <row r="97" spans="52:66" ht="11.25" customHeight="1">
      <c r="AZ97" s="1023" t="s">
        <v>1930</v>
      </c>
      <c r="BH97" s="973" t="s">
        <v>1931</v>
      </c>
      <c r="BJ97" s="973" t="s">
        <v>1932</v>
      </c>
      <c r="BL97" s="973" t="s">
        <v>1933</v>
      </c>
      <c r="BN97" s="973" t="s">
        <v>1934</v>
      </c>
    </row>
    <row r="98" spans="52:66" ht="11.25" customHeight="1">
      <c r="AZ98" s="1023" t="s">
        <v>1935</v>
      </c>
      <c r="BH98" s="973" t="s">
        <v>1936</v>
      </c>
      <c r="BJ98" s="973" t="s">
        <v>1937</v>
      </c>
      <c r="BL98" s="973" t="s">
        <v>1938</v>
      </c>
      <c r="BN98" s="973" t="s">
        <v>1939</v>
      </c>
    </row>
    <row r="99" spans="52:66" ht="11.25" customHeight="1">
      <c r="AZ99" s="1023" t="s">
        <v>1940</v>
      </c>
      <c r="BH99" s="973" t="s">
        <v>1941</v>
      </c>
      <c r="BJ99" s="973" t="s">
        <v>1942</v>
      </c>
      <c r="BL99" s="973" t="s">
        <v>1943</v>
      </c>
      <c r="BN99" s="973" t="s">
        <v>1944</v>
      </c>
    </row>
    <row r="100" spans="52:66" ht="11.25" customHeight="1">
      <c r="BJ100" s="973" t="s">
        <v>1541</v>
      </c>
      <c r="BL100" s="973" t="s">
        <v>1541</v>
      </c>
      <c r="BN100" s="973" t="s">
        <v>1945</v>
      </c>
    </row>
    <row r="101" spans="52:66" ht="11.25" customHeight="1">
      <c r="AZ101" s="1602" t="s">
        <v>1946</v>
      </c>
      <c r="BN101" s="973" t="s">
        <v>1947</v>
      </c>
    </row>
    <row r="102" spans="52:66" ht="11.25" customHeight="1">
      <c r="AZ102" s="1023" t="s">
        <v>597</v>
      </c>
      <c r="BN102" s="973" t="s">
        <v>1948</v>
      </c>
    </row>
    <row r="103" spans="52:66" ht="11.25" customHeight="1">
      <c r="AZ103" s="1023" t="s">
        <v>1949</v>
      </c>
      <c r="BN103" s="973" t="s">
        <v>1950</v>
      </c>
    </row>
    <row r="104" spans="52:66" ht="11.25" customHeight="1">
      <c r="AZ104" s="1023" t="s">
        <v>688</v>
      </c>
      <c r="BN104" s="973" t="s">
        <v>1951</v>
      </c>
    </row>
    <row r="107" spans="52:66" ht="11.25" customHeight="1">
      <c r="BH107" s="972" t="s">
        <v>1952</v>
      </c>
      <c r="BJ107" s="972" t="s">
        <v>1953</v>
      </c>
      <c r="BL107" s="972" t="s">
        <v>1954</v>
      </c>
      <c r="BN107" s="972" t="s">
        <v>1955</v>
      </c>
    </row>
    <row r="108" spans="52:66" ht="11.25" customHeight="1">
      <c r="BH108" s="973" t="s">
        <v>1956</v>
      </c>
      <c r="BJ108" s="973" t="s">
        <v>1957</v>
      </c>
      <c r="BL108" s="973" t="s">
        <v>1624</v>
      </c>
      <c r="BN108" s="973" t="s">
        <v>1958</v>
      </c>
    </row>
    <row r="109" spans="52:66" ht="11.25" customHeight="1">
      <c r="BH109" s="973" t="s">
        <v>1959</v>
      </c>
    </row>
    <row r="110" spans="52:66" ht="11.25" customHeight="1">
      <c r="BH110" s="973" t="s">
        <v>1959</v>
      </c>
    </row>
    <row r="114" spans="60:60" ht="11.25" customHeight="1">
      <c r="BH114" s="972" t="s">
        <v>1960</v>
      </c>
    </row>
    <row r="115" spans="60:60" ht="11.25" customHeight="1">
      <c r="BH115" s="973" t="s">
        <v>566</v>
      </c>
    </row>
    <row r="116" spans="60:60" ht="11.25" customHeight="1">
      <c r="BH116" s="973" t="s">
        <v>1367</v>
      </c>
    </row>
    <row r="117" spans="60:60" ht="11.25" customHeight="1">
      <c r="BH117" s="973" t="s">
        <v>1402</v>
      </c>
    </row>
    <row r="118" spans="60:60" ht="11.25" customHeight="1">
      <c r="BH118" s="973" t="s">
        <v>1434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6565"/>
    <col min="2" max="2" width="43.140625" style="6565" hidden="1"/>
    <col min="3" max="3" width="43.140625" style="6565"/>
    <col min="4" max="5" width="36.42578125" style="6565" customWidth="1"/>
    <col min="6" max="8" width="36.42578125" style="6566" customWidth="1"/>
  </cols>
  <sheetData>
    <row r="1" spans="1:8" ht="9" customHeight="1">
      <c r="A1" s="760" t="s">
        <v>1961</v>
      </c>
      <c r="B1" s="760"/>
      <c r="C1" s="890" t="s">
        <v>1962</v>
      </c>
      <c r="D1" s="889" t="s">
        <v>839</v>
      </c>
      <c r="E1" s="889" t="s">
        <v>885</v>
      </c>
      <c r="F1" s="889" t="s">
        <v>937</v>
      </c>
      <c r="G1" s="889" t="s">
        <v>923</v>
      </c>
      <c r="H1" s="889" t="s">
        <v>1738</v>
      </c>
    </row>
    <row r="2" spans="1:8" ht="9" customHeight="1">
      <c r="A2" s="891" t="s">
        <v>1963</v>
      </c>
      <c r="B2" s="891"/>
      <c r="C2" s="892" t="str">
        <f>INDEX(TEMPLATE_NUMBER_FORM_LIST,MATCH(TEMPLATE_SPHERE,TEMPLATE_SPHERE_LIST,0))</f>
        <v>16</v>
      </c>
      <c r="D2" s="891" t="s">
        <v>167</v>
      </c>
      <c r="E2" s="891" t="s">
        <v>138</v>
      </c>
      <c r="F2" s="893" t="s">
        <v>138</v>
      </c>
      <c r="G2" s="891" t="s">
        <v>138</v>
      </c>
      <c r="H2" s="894"/>
    </row>
    <row r="3" spans="1:8" ht="63" customHeight="1">
      <c r="A3" s="760"/>
      <c r="B3" s="760" t="s">
        <v>178</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1964</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1965</v>
      </c>
      <c r="B4" s="760" t="s">
        <v>98</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1966</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1967</v>
      </c>
    </row>
    <row r="5" spans="1:8" ht="117" customHeight="1">
      <c r="A5" s="760" t="s">
        <v>1968</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1969</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1970</v>
      </c>
    </row>
    <row r="6" spans="1:8" ht="45" customHeight="1">
      <c r="A6" s="760" t="s">
        <v>1971</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1972</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1973</v>
      </c>
      <c r="B7" s="760" t="s">
        <v>115</v>
      </c>
      <c r="C7" s="892" t="str">
        <f>IF(TEMPLATE_SPHERE="HEAT",D7,E7)</f>
        <v>Форма 11. Информация о расходах на капитальный и текущий ремонт основных средств</v>
      </c>
      <c r="D7" s="760" t="s">
        <v>1974</v>
      </c>
      <c r="E7" s="760" t="s">
        <v>1975</v>
      </c>
      <c r="F7" s="894"/>
      <c r="G7" s="894"/>
      <c r="H7" s="894"/>
    </row>
    <row r="8" spans="1:8" ht="108" customHeight="1">
      <c r="A8" s="760" t="s">
        <v>1976</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1977</v>
      </c>
      <c r="E8" s="760" t="s">
        <v>1978</v>
      </c>
      <c r="F8" s="894"/>
      <c r="G8" s="894"/>
      <c r="H8" s="894"/>
    </row>
    <row r="9" spans="1:8" ht="99" customHeight="1">
      <c r="A9" s="760" t="s">
        <v>1979</v>
      </c>
      <c r="B9" s="760"/>
      <c r="C9" s="760" t="s">
        <v>1980</v>
      </c>
      <c r="D9" s="760"/>
      <c r="E9" s="760"/>
      <c r="F9" s="894"/>
      <c r="G9" s="894"/>
      <c r="H9" s="894"/>
    </row>
    <row r="10" spans="1:8" ht="126" customHeight="1">
      <c r="A10" s="760" t="s">
        <v>1981</v>
      </c>
      <c r="B10" s="760"/>
      <c r="C10" s="760" t="s">
        <v>1982</v>
      </c>
      <c r="D10" s="760"/>
      <c r="E10" s="760"/>
      <c r="F10" s="894"/>
      <c r="G10" s="894"/>
      <c r="H10" s="894"/>
    </row>
    <row r="11" spans="1:8" ht="108" customHeight="1">
      <c r="A11" s="760" t="s">
        <v>1983</v>
      </c>
      <c r="B11" s="760"/>
      <c r="C11" s="760" t="s">
        <v>1984</v>
      </c>
      <c r="D11" s="760"/>
      <c r="E11" s="760"/>
      <c r="F11" s="894"/>
      <c r="G11" s="894"/>
      <c r="H11" s="894"/>
    </row>
    <row r="12" spans="1:8" ht="54" customHeight="1">
      <c r="A12" s="760" t="s">
        <v>1985</v>
      </c>
      <c r="B12" s="760"/>
      <c r="C12" s="760" t="s">
        <v>1986</v>
      </c>
      <c r="D12" s="760"/>
      <c r="E12" s="760"/>
      <c r="F12" s="894"/>
      <c r="G12" s="894"/>
      <c r="H12" s="894"/>
    </row>
    <row r="13" spans="1:8" ht="45" customHeight="1">
      <c r="A13" s="760" t="s">
        <v>1987</v>
      </c>
      <c r="B13" s="760"/>
      <c r="C13" s="760" t="s">
        <v>1988</v>
      </c>
      <c r="D13" s="760"/>
      <c r="E13" s="760"/>
      <c r="F13" s="894"/>
      <c r="G13" s="894"/>
      <c r="H13" s="894"/>
    </row>
    <row r="14" spans="1:8" ht="117" customHeight="1">
      <c r="A14" s="760" t="s">
        <v>1989</v>
      </c>
      <c r="B14" s="760"/>
      <c r="C14" s="760" t="s">
        <v>1990</v>
      </c>
      <c r="D14" s="760"/>
      <c r="E14" s="760"/>
      <c r="F14" s="894"/>
      <c r="G14" s="894"/>
      <c r="H14" s="894"/>
    </row>
    <row r="15" spans="1:8" ht="117" customHeight="1">
      <c r="A15" s="760" t="s">
        <v>1991</v>
      </c>
      <c r="B15" s="760"/>
      <c r="C15" s="760" t="s">
        <v>1992</v>
      </c>
      <c r="D15" s="760"/>
      <c r="E15" s="760"/>
      <c r="F15" s="894"/>
      <c r="G15" s="894"/>
      <c r="H15" s="894"/>
    </row>
    <row r="16" spans="1:8" ht="63" customHeight="1">
      <c r="A16" s="760" t="s">
        <v>1993</v>
      </c>
      <c r="B16" s="760"/>
      <c r="C16" s="760" t="s">
        <v>1994</v>
      </c>
      <c r="D16" s="760"/>
      <c r="E16" s="760"/>
      <c r="F16" s="894"/>
      <c r="G16" s="894"/>
      <c r="H16" s="894"/>
    </row>
    <row r="17" spans="1:8" ht="54" customHeight="1">
      <c r="A17" s="760" t="s">
        <v>1995</v>
      </c>
      <c r="B17" s="760"/>
      <c r="C17" s="892" t="s">
        <v>1996</v>
      </c>
      <c r="D17" s="760"/>
      <c r="E17" s="760"/>
      <c r="F17" s="894"/>
      <c r="G17" s="894"/>
      <c r="H17" s="894"/>
    </row>
    <row r="18" spans="1:8" ht="27" customHeight="1">
      <c r="A18" s="760" t="s">
        <v>1997</v>
      </c>
      <c r="B18" s="760"/>
      <c r="C18" s="892" t="s">
        <v>1998</v>
      </c>
      <c r="D18" s="760"/>
      <c r="E18" s="760"/>
      <c r="F18" s="894"/>
      <c r="G18" s="894"/>
      <c r="H18" s="894"/>
    </row>
    <row r="19" spans="1:8" ht="54" customHeight="1">
      <c r="A19" s="760" t="s">
        <v>1999</v>
      </c>
      <c r="B19" s="760"/>
      <c r="C19" s="892" t="s">
        <v>2000</v>
      </c>
      <c r="D19" s="760"/>
      <c r="E19" s="760"/>
      <c r="F19" s="894"/>
      <c r="G19" s="894"/>
      <c r="H19" s="894"/>
    </row>
    <row r="20" spans="1:8" ht="36" customHeight="1">
      <c r="A20" s="760" t="s">
        <v>2001</v>
      </c>
      <c r="B20" s="760"/>
      <c r="C20" s="892" t="s">
        <v>2002</v>
      </c>
      <c r="D20" s="760"/>
      <c r="E20" s="760"/>
      <c r="F20" s="894"/>
      <c r="G20" s="894"/>
      <c r="H20" s="894"/>
    </row>
    <row r="21" spans="1:8" ht="36" customHeight="1">
      <c r="A21" s="760" t="s">
        <v>2003</v>
      </c>
      <c r="B21" s="760"/>
      <c r="C21" s="892" t="s">
        <v>2004</v>
      </c>
      <c r="D21" s="760"/>
      <c r="E21" s="760"/>
      <c r="F21" s="894"/>
      <c r="G21" s="894"/>
      <c r="H21" s="894"/>
    </row>
    <row r="22" spans="1:8" ht="27" customHeight="1">
      <c r="A22" s="760" t="s">
        <v>2005</v>
      </c>
      <c r="B22" s="760"/>
      <c r="C22" s="892" t="s">
        <v>2006</v>
      </c>
      <c r="D22" s="760"/>
      <c r="E22" s="760"/>
      <c r="F22" s="894"/>
      <c r="G22" s="894"/>
      <c r="H22" s="894"/>
    </row>
    <row r="23" spans="1:8" ht="36" customHeight="1">
      <c r="A23" s="760" t="s">
        <v>2007</v>
      </c>
      <c r="B23" s="760"/>
      <c r="C23" s="892" t="s">
        <v>2008</v>
      </c>
      <c r="D23" s="760"/>
      <c r="E23" s="760"/>
      <c r="F23" s="894"/>
      <c r="G23" s="894"/>
      <c r="H23" s="894"/>
    </row>
    <row r="24" spans="1:8" ht="28.5" customHeight="1">
      <c r="A24" s="760" t="s">
        <v>2009</v>
      </c>
      <c r="B24" s="760"/>
      <c r="C24" s="892" t="s">
        <v>2010</v>
      </c>
      <c r="D24" s="760"/>
      <c r="E24" s="760"/>
      <c r="F24" s="894"/>
      <c r="G24" s="894"/>
      <c r="H24" s="894"/>
    </row>
    <row r="25" spans="1:8" ht="36" customHeight="1">
      <c r="A25" s="760" t="s">
        <v>2011</v>
      </c>
      <c r="B25" s="760"/>
      <c r="C25" s="892" t="s">
        <v>2012</v>
      </c>
      <c r="D25" s="760"/>
      <c r="E25" s="760"/>
      <c r="F25" s="894"/>
      <c r="G25" s="894"/>
      <c r="H25" s="894"/>
    </row>
    <row r="26" spans="1:8" ht="27" customHeight="1">
      <c r="A26" s="760" t="s">
        <v>2013</v>
      </c>
      <c r="B26" s="760"/>
      <c r="C26" s="892" t="s">
        <v>2014</v>
      </c>
      <c r="D26" s="760"/>
      <c r="E26" s="760"/>
      <c r="F26" s="894"/>
      <c r="G26" s="894"/>
      <c r="H26" s="894"/>
    </row>
    <row r="27" spans="1:8" ht="36" customHeight="1">
      <c r="A27" s="760" t="s">
        <v>2015</v>
      </c>
      <c r="B27" s="760"/>
      <c r="C27" s="892" t="s">
        <v>2016</v>
      </c>
      <c r="D27" s="760"/>
      <c r="E27" s="760"/>
      <c r="F27" s="894"/>
      <c r="G27" s="894"/>
      <c r="H27" s="894"/>
    </row>
    <row r="28" spans="1:8" ht="28.5" customHeight="1">
      <c r="A28" s="760" t="s">
        <v>2017</v>
      </c>
      <c r="B28" s="760"/>
      <c r="C28" s="892" t="s">
        <v>2018</v>
      </c>
      <c r="D28" s="760"/>
      <c r="E28" s="760"/>
      <c r="F28" s="894"/>
      <c r="G28" s="894"/>
      <c r="H28" s="894"/>
    </row>
    <row r="29" spans="1:8" ht="126" customHeight="1">
      <c r="A29" s="760" t="s">
        <v>2019</v>
      </c>
      <c r="B29" s="760" t="s">
        <v>1690</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2020</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2021</v>
      </c>
    </row>
    <row r="30" spans="1:8" ht="36" customHeight="1">
      <c r="A30" s="760" t="s">
        <v>2022</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2023</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2024</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2025</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2026</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2027</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2028</v>
      </c>
    </row>
    <row r="33" spans="1:8" ht="9" customHeight="1">
      <c r="A33" s="760"/>
      <c r="B33" s="760"/>
      <c r="C33" s="892"/>
      <c r="D33" s="760"/>
      <c r="E33" s="760"/>
      <c r="F33" s="894"/>
      <c r="G33" s="894"/>
      <c r="H33" s="894"/>
    </row>
    <row r="34" spans="1:8" ht="9" customHeight="1">
      <c r="A34" s="760"/>
      <c r="B34" s="760" t="s">
        <v>1627</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6565"/>
    <col min="3" max="7" width="8" style="6568" customWidth="1"/>
    <col min="8" max="12" width="8.5703125" style="6568" customWidth="1"/>
    <col min="13" max="14" width="27.7109375" style="6568" customWidth="1"/>
    <col min="15" max="19" width="5.140625" style="6568" customWidth="1"/>
    <col min="20" max="24" width="27.7109375" style="6568" customWidth="1"/>
    <col min="25" max="25" width="1.85546875" style="6569" customWidth="1"/>
    <col min="26" max="26" width="27.7109375" style="6565" customWidth="1"/>
    <col min="27" max="27" width="27.7109375" style="6570" customWidth="1"/>
    <col min="28" max="29" width="27.7109375" style="6565" customWidth="1"/>
    <col min="30" max="30" width="3.85546875" style="6565" customWidth="1"/>
    <col min="31" max="34" width="9.140625" style="6565"/>
  </cols>
  <sheetData>
    <row r="1" spans="1:34" s="6567" customFormat="1" ht="18" customHeight="1">
      <c r="A1" s="811"/>
      <c r="B1" s="811"/>
      <c r="C1" s="811" t="s">
        <v>2029</v>
      </c>
      <c r="D1" s="811"/>
      <c r="E1" s="811"/>
      <c r="F1" s="811"/>
      <c r="G1" s="811"/>
      <c r="H1" s="811" t="s">
        <v>2030</v>
      </c>
      <c r="I1" s="811"/>
      <c r="J1" s="811"/>
      <c r="K1" s="811"/>
      <c r="L1" s="811"/>
      <c r="M1" s="811" t="s">
        <v>2031</v>
      </c>
      <c r="N1" s="811" t="s">
        <v>2032</v>
      </c>
      <c r="O1" s="7003" t="s">
        <v>2033</v>
      </c>
      <c r="P1" s="7003"/>
      <c r="Q1" s="7003"/>
      <c r="R1" s="7003"/>
      <c r="S1" s="7003"/>
      <c r="T1" s="7003" t="s">
        <v>2031</v>
      </c>
      <c r="U1" s="7003"/>
      <c r="V1" s="7003"/>
      <c r="W1" s="7003"/>
      <c r="X1" s="7003"/>
      <c r="Y1" s="907"/>
      <c r="Z1" s="7003" t="s">
        <v>2034</v>
      </c>
      <c r="AA1" s="7003"/>
      <c r="AB1" s="7003"/>
      <c r="AC1" s="7003"/>
      <c r="AD1" s="7003"/>
    </row>
    <row r="2" spans="1:34" ht="18" customHeight="1">
      <c r="A2" s="760"/>
      <c r="B2" s="760"/>
      <c r="C2" s="756" t="s">
        <v>839</v>
      </c>
      <c r="D2" s="756" t="s">
        <v>885</v>
      </c>
      <c r="E2" s="756" t="s">
        <v>937</v>
      </c>
      <c r="F2" s="756" t="s">
        <v>923</v>
      </c>
      <c r="G2" s="756" t="s">
        <v>1738</v>
      </c>
      <c r="H2" s="757"/>
      <c r="I2" s="757"/>
      <c r="J2" s="757"/>
      <c r="K2" s="757"/>
      <c r="L2" s="757"/>
      <c r="M2" s="757"/>
      <c r="N2" s="757"/>
      <c r="O2" s="756" t="s">
        <v>839</v>
      </c>
      <c r="P2" s="756" t="s">
        <v>885</v>
      </c>
      <c r="Q2" s="756" t="s">
        <v>923</v>
      </c>
      <c r="R2" s="756" t="s">
        <v>937</v>
      </c>
      <c r="S2" s="756" t="s">
        <v>1738</v>
      </c>
      <c r="T2" s="756" t="s">
        <v>839</v>
      </c>
      <c r="U2" s="756" t="s">
        <v>885</v>
      </c>
      <c r="V2" s="756" t="s">
        <v>923</v>
      </c>
      <c r="W2" s="756" t="s">
        <v>937</v>
      </c>
      <c r="X2" s="756" t="s">
        <v>1738</v>
      </c>
      <c r="Y2" s="756"/>
      <c r="Z2" s="756" t="s">
        <v>839</v>
      </c>
      <c r="AA2" s="764" t="s">
        <v>885</v>
      </c>
      <c r="AB2" s="756" t="s">
        <v>923</v>
      </c>
      <c r="AC2" s="756" t="s">
        <v>937</v>
      </c>
      <c r="AD2" s="756" t="s">
        <v>1738</v>
      </c>
    </row>
    <row r="3" spans="1:34" ht="162" customHeight="1">
      <c r="A3" s="759" t="s">
        <v>22</v>
      </c>
      <c r="B3" s="759"/>
      <c r="C3" s="7007" t="s">
        <v>2035</v>
      </c>
      <c r="D3" s="7008"/>
      <c r="E3" s="7008"/>
      <c r="F3" s="7009"/>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2036</v>
      </c>
      <c r="AA3" s="757" t="s">
        <v>2037</v>
      </c>
      <c r="AB3" s="760" t="s">
        <v>2038</v>
      </c>
      <c r="AC3" s="760" t="s">
        <v>2039</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7004" t="s">
        <v>29</v>
      </c>
      <c r="B11" s="812">
        <v>1</v>
      </c>
      <c r="C11" s="7010" t="s">
        <v>1677</v>
      </c>
      <c r="D11" s="7010" t="s">
        <v>1673</v>
      </c>
      <c r="E11" s="7010" t="s">
        <v>1770</v>
      </c>
      <c r="F11" s="7010" t="s">
        <v>2040</v>
      </c>
      <c r="G11" s="7010"/>
      <c r="H11" s="811" t="s">
        <v>2041</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2042</v>
      </c>
      <c r="U11" s="757" t="s">
        <v>2043</v>
      </c>
      <c r="V11" s="757"/>
      <c r="W11" s="757"/>
      <c r="X11" s="757"/>
      <c r="Y11" s="908"/>
      <c r="Z11" s="760" t="s">
        <v>2044</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7004"/>
      <c r="B12" s="812">
        <v>2</v>
      </c>
      <c r="C12" s="7011"/>
      <c r="D12" s="7011"/>
      <c r="E12" s="7011"/>
      <c r="F12" s="7011"/>
      <c r="G12" s="7011"/>
      <c r="H12" s="811" t="s">
        <v>2045</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2046</v>
      </c>
      <c r="U12" s="757" t="s">
        <v>2047</v>
      </c>
      <c r="V12" s="757"/>
      <c r="W12" s="757"/>
      <c r="X12" s="757"/>
      <c r="Y12" s="908"/>
      <c r="Z12" s="760" t="s">
        <v>2048</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7004"/>
      <c r="B13" s="812">
        <v>3</v>
      </c>
      <c r="C13" s="7011"/>
      <c r="D13" s="7011"/>
      <c r="E13" s="7011"/>
      <c r="F13" s="7011"/>
      <c r="G13" s="7011"/>
      <c r="H13" s="7003" t="s">
        <v>2049</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2050</v>
      </c>
      <c r="U13" s="758" t="s">
        <v>2051</v>
      </c>
      <c r="V13" s="758"/>
      <c r="W13" s="758"/>
      <c r="X13" s="757"/>
      <c r="Y13" s="908"/>
      <c r="Z13" s="760" t="s">
        <v>2052</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7004"/>
      <c r="B14" s="812">
        <v>4</v>
      </c>
      <c r="C14" s="7011"/>
      <c r="D14" s="7011"/>
      <c r="E14" s="7011"/>
      <c r="F14" s="7011"/>
      <c r="G14" s="7011"/>
      <c r="H14" s="7003"/>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2053</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2054</v>
      </c>
      <c r="AA14" s="763" t="s">
        <v>2054</v>
      </c>
      <c r="AB14" s="760"/>
      <c r="AC14" s="760"/>
      <c r="AD14" s="760"/>
    </row>
    <row r="15" spans="1:34" ht="108" customHeight="1">
      <c r="A15" s="7004"/>
      <c r="B15" s="812">
        <v>5</v>
      </c>
      <c r="C15" s="7011"/>
      <c r="D15" s="7011"/>
      <c r="E15" s="7011"/>
      <c r="F15" s="7011"/>
      <c r="G15" s="7011"/>
      <c r="H15" s="7005" t="s">
        <v>2055</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2056</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2057</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7012"/>
      <c r="D16" s="7012"/>
      <c r="E16" s="7012"/>
      <c r="F16" s="7012"/>
      <c r="G16" s="7012"/>
      <c r="H16" s="7006"/>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2057</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1773</v>
      </c>
      <c r="B18" s="812">
        <v>1</v>
      </c>
      <c r="C18" s="757" t="s">
        <v>2041</v>
      </c>
      <c r="D18" s="876" t="s">
        <v>2041</v>
      </c>
      <c r="E18" s="757" t="s">
        <v>2041</v>
      </c>
      <c r="F18" s="757" t="s">
        <v>2041</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2058</v>
      </c>
      <c r="U18" s="760" t="s">
        <v>2059</v>
      </c>
      <c r="V18" s="760" t="s">
        <v>2060</v>
      </c>
      <c r="W18" s="760" t="s">
        <v>2061</v>
      </c>
      <c r="X18" s="757"/>
      <c r="Y18" s="908"/>
      <c r="Z18" s="760" t="s">
        <v>2062</v>
      </c>
      <c r="AA18" s="763" t="s">
        <v>2063</v>
      </c>
      <c r="AB18" s="763" t="s">
        <v>2063</v>
      </c>
      <c r="AC18" s="763" t="s">
        <v>2063</v>
      </c>
      <c r="AD18" s="760"/>
    </row>
    <row r="19" spans="1:30" ht="36" customHeight="1">
      <c r="A19" s="759"/>
      <c r="B19" s="812">
        <v>2</v>
      </c>
      <c r="C19" s="757" t="s">
        <v>2045</v>
      </c>
      <c r="D19" s="876" t="s">
        <v>2045</v>
      </c>
      <c r="E19" s="757" t="s">
        <v>2045</v>
      </c>
      <c r="F19" s="757" t="s">
        <v>2045</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2064</v>
      </c>
      <c r="U19" s="760" t="s">
        <v>2065</v>
      </c>
      <c r="V19" s="760" t="s">
        <v>2066</v>
      </c>
      <c r="W19" s="760" t="s">
        <v>2067</v>
      </c>
      <c r="X19" s="757"/>
      <c r="Y19" s="908"/>
      <c r="Z19" s="760" t="s">
        <v>2068</v>
      </c>
      <c r="AA19" s="763" t="s">
        <v>2068</v>
      </c>
      <c r="AB19" s="763" t="s">
        <v>2068</v>
      </c>
      <c r="AC19" s="763" t="s">
        <v>2068</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739</v>
      </c>
      <c r="P20" s="866" t="s">
        <v>739</v>
      </c>
      <c r="Q20" s="866" t="s">
        <v>739</v>
      </c>
      <c r="R20" s="866" t="s">
        <v>739</v>
      </c>
      <c r="S20" s="866"/>
      <c r="T20" s="873" t="s">
        <v>2069</v>
      </c>
      <c r="U20" s="760" t="s">
        <v>2070</v>
      </c>
      <c r="V20" s="760" t="s">
        <v>2071</v>
      </c>
      <c r="W20" s="760" t="s">
        <v>2072</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425</v>
      </c>
      <c r="P21" s="866"/>
      <c r="Q21" s="866"/>
      <c r="R21" s="866"/>
      <c r="S21" s="866"/>
      <c r="T21" s="873" t="s">
        <v>2073</v>
      </c>
      <c r="U21" s="760"/>
      <c r="V21" s="760"/>
      <c r="W21" s="760"/>
      <c r="X21" s="757"/>
      <c r="Y21" s="908"/>
      <c r="Z21" s="760" t="s">
        <v>2074</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425</v>
      </c>
      <c r="R22" s="866"/>
      <c r="S22" s="866"/>
      <c r="T22" s="873"/>
      <c r="U22" s="760"/>
      <c r="V22" s="760" t="s">
        <v>2075</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428</v>
      </c>
      <c r="R23" s="866"/>
      <c r="S23" s="866"/>
      <c r="T23" s="873"/>
      <c r="U23" s="760"/>
      <c r="V23" s="760" t="s">
        <v>2076</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759</v>
      </c>
      <c r="R24" s="866"/>
      <c r="S24" s="866"/>
      <c r="T24" s="873"/>
      <c r="U24" s="760"/>
      <c r="V24" s="760" t="s">
        <v>2077</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428</v>
      </c>
      <c r="P25" s="866" t="s">
        <v>425</v>
      </c>
      <c r="Q25" s="866" t="s">
        <v>766</v>
      </c>
      <c r="R25" s="866" t="s">
        <v>425</v>
      </c>
      <c r="S25" s="866"/>
      <c r="T25" s="873" t="s">
        <v>2078</v>
      </c>
      <c r="U25" s="760" t="s">
        <v>2078</v>
      </c>
      <c r="V25" s="760" t="s">
        <v>2078</v>
      </c>
      <c r="W25" s="760" t="s">
        <v>2078</v>
      </c>
      <c r="X25" s="757"/>
      <c r="Y25" s="908"/>
      <c r="Z25" s="760"/>
      <c r="AA25" s="763"/>
      <c r="AB25" s="760"/>
      <c r="AC25" s="760"/>
      <c r="AD25" s="760"/>
    </row>
    <row r="26" spans="1:30" ht="18" customHeight="1">
      <c r="A26" s="759"/>
      <c r="B26" s="812">
        <v>9</v>
      </c>
      <c r="C26" s="757" t="s">
        <v>935</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755</v>
      </c>
      <c r="P26" s="866" t="s">
        <v>749</v>
      </c>
      <c r="Q26" s="866" t="s">
        <v>2079</v>
      </c>
      <c r="R26" s="866" t="s">
        <v>749</v>
      </c>
      <c r="S26" s="866"/>
      <c r="T26" s="873" t="s">
        <v>2080</v>
      </c>
      <c r="U26" s="873" t="s">
        <v>2080</v>
      </c>
      <c r="V26" s="873" t="s">
        <v>2080</v>
      </c>
      <c r="W26" s="873" t="s">
        <v>2080</v>
      </c>
      <c r="X26" s="757"/>
      <c r="Y26" s="908"/>
      <c r="Z26" s="760"/>
      <c r="AA26" s="763"/>
      <c r="AB26" s="760"/>
      <c r="AC26" s="760"/>
      <c r="AD26" s="760"/>
    </row>
    <row r="27" spans="1:30" ht="18" customHeight="1">
      <c r="A27" s="759"/>
      <c r="B27" s="812">
        <v>10</v>
      </c>
      <c r="C27" s="757" t="s">
        <v>2081</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757</v>
      </c>
      <c r="P27" s="866" t="s">
        <v>751</v>
      </c>
      <c r="Q27" s="866" t="s">
        <v>2082</v>
      </c>
      <c r="R27" s="866" t="s">
        <v>751</v>
      </c>
      <c r="S27" s="866"/>
      <c r="T27" s="873" t="s">
        <v>2083</v>
      </c>
      <c r="U27" s="873" t="s">
        <v>2083</v>
      </c>
      <c r="V27" s="873" t="s">
        <v>2083</v>
      </c>
      <c r="W27" s="873" t="s">
        <v>2083</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759</v>
      </c>
      <c r="P28" s="866"/>
      <c r="Q28" s="866"/>
      <c r="R28" s="866"/>
      <c r="S28" s="866"/>
      <c r="T28" s="873" t="s">
        <v>2084</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766</v>
      </c>
      <c r="P29" s="866" t="s">
        <v>428</v>
      </c>
      <c r="Q29" s="866"/>
      <c r="R29" s="866" t="s">
        <v>428</v>
      </c>
      <c r="S29" s="866"/>
      <c r="T29" s="873" t="s">
        <v>2085</v>
      </c>
      <c r="U29" s="760" t="s">
        <v>2085</v>
      </c>
      <c r="V29" s="760"/>
      <c r="W29" s="760" t="s">
        <v>2085</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768</v>
      </c>
      <c r="P30" s="866" t="s">
        <v>759</v>
      </c>
      <c r="Q30" s="866" t="s">
        <v>768</v>
      </c>
      <c r="R30" s="866" t="s">
        <v>759</v>
      </c>
      <c r="S30" s="866"/>
      <c r="T30" s="873" t="s">
        <v>2086</v>
      </c>
      <c r="U30" s="760" t="s">
        <v>2086</v>
      </c>
      <c r="V30" s="760" t="s">
        <v>2086</v>
      </c>
      <c r="W30" s="760" t="s">
        <v>2086</v>
      </c>
      <c r="X30" s="757"/>
      <c r="Y30" s="908"/>
      <c r="Z30" s="760"/>
      <c r="AA30" s="763" t="s">
        <v>2087</v>
      </c>
      <c r="AB30" s="763" t="s">
        <v>2087</v>
      </c>
      <c r="AC30" s="763" t="s">
        <v>2087</v>
      </c>
      <c r="AD30" s="760"/>
    </row>
    <row r="31" spans="1:30" ht="18" customHeight="1">
      <c r="A31" s="759"/>
      <c r="B31" s="812">
        <v>14</v>
      </c>
      <c r="C31" s="757" t="s">
        <v>2088</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2089</v>
      </c>
      <c r="P31" s="866" t="s">
        <v>762</v>
      </c>
      <c r="Q31" s="866" t="s">
        <v>2089</v>
      </c>
      <c r="R31" s="866" t="s">
        <v>762</v>
      </c>
      <c r="S31" s="866"/>
      <c r="T31" s="874" t="s">
        <v>2090</v>
      </c>
      <c r="U31" s="760" t="s">
        <v>2090</v>
      </c>
      <c r="V31" s="760" t="s">
        <v>2090</v>
      </c>
      <c r="W31" s="760" t="s">
        <v>2090</v>
      </c>
      <c r="X31" s="757"/>
      <c r="Y31" s="908"/>
      <c r="Z31" s="760"/>
      <c r="AA31" s="763"/>
      <c r="AB31" s="763"/>
      <c r="AC31" s="763"/>
      <c r="AD31" s="760"/>
    </row>
    <row r="32" spans="1:30" ht="36" customHeight="1">
      <c r="A32" s="759"/>
      <c r="B32" s="812">
        <v>15</v>
      </c>
      <c r="C32" s="757" t="s">
        <v>2091</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2092</v>
      </c>
      <c r="P32" s="866" t="s">
        <v>764</v>
      </c>
      <c r="Q32" s="866" t="s">
        <v>2092</v>
      </c>
      <c r="R32" s="866" t="s">
        <v>764</v>
      </c>
      <c r="S32" s="866"/>
      <c r="T32" s="875" t="s">
        <v>2093</v>
      </c>
      <c r="U32" s="760" t="s">
        <v>2093</v>
      </c>
      <c r="V32" s="760" t="s">
        <v>2093</v>
      </c>
      <c r="W32" s="760" t="s">
        <v>2093</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770</v>
      </c>
      <c r="P33" s="866" t="s">
        <v>766</v>
      </c>
      <c r="Q33" s="866" t="s">
        <v>770</v>
      </c>
      <c r="R33" s="866" t="s">
        <v>766</v>
      </c>
      <c r="S33" s="866"/>
      <c r="T33" s="874" t="s">
        <v>2094</v>
      </c>
      <c r="U33" s="760" t="s">
        <v>2094</v>
      </c>
      <c r="V33" s="760" t="s">
        <v>2094</v>
      </c>
      <c r="W33" s="760" t="s">
        <v>2095</v>
      </c>
      <c r="X33" s="757"/>
      <c r="Y33" s="908"/>
      <c r="Z33" s="760"/>
      <c r="AA33" s="763" t="s">
        <v>2096</v>
      </c>
      <c r="AB33" s="763" t="s">
        <v>2096</v>
      </c>
      <c r="AC33" s="763" t="s">
        <v>2096</v>
      </c>
      <c r="AD33" s="760"/>
    </row>
    <row r="34" spans="1:30" ht="27" customHeight="1">
      <c r="A34" s="759"/>
      <c r="B34" s="812">
        <v>17</v>
      </c>
      <c r="C34" s="757" t="s">
        <v>2097</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2098</v>
      </c>
      <c r="P34" s="866" t="s">
        <v>2079</v>
      </c>
      <c r="Q34" s="866" t="s">
        <v>2098</v>
      </c>
      <c r="R34" s="866" t="s">
        <v>2079</v>
      </c>
      <c r="S34" s="866"/>
      <c r="T34" s="875" t="s">
        <v>2099</v>
      </c>
      <c r="U34" s="760" t="s">
        <v>2099</v>
      </c>
      <c r="V34" s="760" t="s">
        <v>2099</v>
      </c>
      <c r="W34" s="760" t="s">
        <v>2100</v>
      </c>
      <c r="X34" s="757"/>
      <c r="Y34" s="908"/>
      <c r="Z34" s="760"/>
      <c r="AA34" s="763"/>
      <c r="AB34" s="760"/>
      <c r="AC34" s="760"/>
      <c r="AD34" s="760"/>
    </row>
    <row r="35" spans="1:30" ht="45" customHeight="1">
      <c r="A35" s="759"/>
      <c r="B35" s="812">
        <v>18</v>
      </c>
      <c r="C35" s="757" t="s">
        <v>2101</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2102</v>
      </c>
      <c r="P35" s="866" t="s">
        <v>2082</v>
      </c>
      <c r="Q35" s="866" t="s">
        <v>2102</v>
      </c>
      <c r="R35" s="866" t="s">
        <v>2082</v>
      </c>
      <c r="S35" s="866"/>
      <c r="T35" s="873" t="s">
        <v>2103</v>
      </c>
      <c r="U35" s="760" t="s">
        <v>2103</v>
      </c>
      <c r="V35" s="760" t="s">
        <v>2103</v>
      </c>
      <c r="W35" s="760" t="s">
        <v>2103</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772</v>
      </c>
      <c r="P36" s="866" t="s">
        <v>768</v>
      </c>
      <c r="Q36" s="866" t="s">
        <v>772</v>
      </c>
      <c r="R36" s="866" t="s">
        <v>768</v>
      </c>
      <c r="S36" s="866"/>
      <c r="T36" s="873" t="s">
        <v>2104</v>
      </c>
      <c r="U36" s="760" t="s">
        <v>2104</v>
      </c>
      <c r="V36" s="760" t="s">
        <v>2104</v>
      </c>
      <c r="W36" s="760" t="s">
        <v>2104</v>
      </c>
      <c r="X36" s="757"/>
      <c r="Y36" s="908"/>
      <c r="Z36" s="760"/>
      <c r="AA36" s="763"/>
      <c r="AB36" s="760"/>
      <c r="AC36" s="760"/>
      <c r="AD36" s="760"/>
    </row>
    <row r="37" spans="1:30" ht="18" customHeight="1">
      <c r="A37" s="759"/>
      <c r="B37" s="812">
        <v>20</v>
      </c>
      <c r="C37" s="757" t="s">
        <v>2105</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2106</v>
      </c>
      <c r="P37" s="866" t="s">
        <v>2089</v>
      </c>
      <c r="Q37" s="866" t="s">
        <v>2106</v>
      </c>
      <c r="R37" s="866" t="s">
        <v>2089</v>
      </c>
      <c r="S37" s="866"/>
      <c r="T37" s="873" t="s">
        <v>2107</v>
      </c>
      <c r="U37" s="760" t="s">
        <v>2107</v>
      </c>
      <c r="V37" s="760" t="s">
        <v>2107</v>
      </c>
      <c r="W37" s="760" t="s">
        <v>2107</v>
      </c>
      <c r="X37" s="757"/>
      <c r="Y37" s="908"/>
      <c r="Z37" s="760"/>
      <c r="AA37" s="763"/>
      <c r="AB37" s="760"/>
      <c r="AC37" s="760"/>
      <c r="AD37" s="760"/>
    </row>
    <row r="38" spans="1:30" ht="18" customHeight="1">
      <c r="A38" s="759"/>
      <c r="B38" s="812">
        <v>21</v>
      </c>
      <c r="C38" s="757" t="s">
        <v>2108</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2109</v>
      </c>
      <c r="P38" s="866" t="s">
        <v>2092</v>
      </c>
      <c r="Q38" s="866" t="s">
        <v>2109</v>
      </c>
      <c r="R38" s="866" t="s">
        <v>2092</v>
      </c>
      <c r="S38" s="866"/>
      <c r="T38" s="873" t="s">
        <v>2110</v>
      </c>
      <c r="U38" s="760" t="s">
        <v>2110</v>
      </c>
      <c r="V38" s="760" t="s">
        <v>2110</v>
      </c>
      <c r="W38" s="760" t="s">
        <v>2110</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776</v>
      </c>
      <c r="P39" s="866" t="s">
        <v>770</v>
      </c>
      <c r="Q39" s="866" t="s">
        <v>776</v>
      </c>
      <c r="R39" s="866" t="s">
        <v>770</v>
      </c>
      <c r="S39" s="866"/>
      <c r="T39" s="873" t="s">
        <v>2111</v>
      </c>
      <c r="U39" s="760" t="s">
        <v>2112</v>
      </c>
      <c r="V39" s="760" t="s">
        <v>2113</v>
      </c>
      <c r="W39" s="760" t="s">
        <v>2114</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2115</v>
      </c>
      <c r="P40" s="866" t="s">
        <v>772</v>
      </c>
      <c r="Q40" s="866" t="s">
        <v>2115</v>
      </c>
      <c r="R40" s="866" t="s">
        <v>772</v>
      </c>
      <c r="S40" s="866"/>
      <c r="T40" s="757" t="s">
        <v>2116</v>
      </c>
      <c r="U40" s="757" t="s">
        <v>2116</v>
      </c>
      <c r="V40" s="757" t="s">
        <v>2116</v>
      </c>
      <c r="W40" s="757" t="s">
        <v>2116</v>
      </c>
      <c r="X40" s="757"/>
      <c r="Y40" s="908"/>
      <c r="Z40" s="760" t="s">
        <v>2117</v>
      </c>
      <c r="AA40" s="763" t="s">
        <v>2117</v>
      </c>
      <c r="AB40" s="763" t="s">
        <v>2117</v>
      </c>
      <c r="AC40" s="763" t="s">
        <v>2117</v>
      </c>
      <c r="AD40" s="760"/>
    </row>
    <row r="41" spans="1:30" ht="27" customHeight="1">
      <c r="A41" s="759"/>
      <c r="B41" s="812">
        <v>24</v>
      </c>
      <c r="C41" s="757" t="s">
        <v>2118</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2119</v>
      </c>
      <c r="P41" s="866" t="s">
        <v>2106</v>
      </c>
      <c r="Q41" s="866" t="s">
        <v>2119</v>
      </c>
      <c r="R41" s="866" t="s">
        <v>2106</v>
      </c>
      <c r="S41" s="866"/>
      <c r="T41" s="757" t="s">
        <v>2120</v>
      </c>
      <c r="U41" s="757" t="s">
        <v>2120</v>
      </c>
      <c r="V41" s="757" t="s">
        <v>2120</v>
      </c>
      <c r="W41" s="757" t="s">
        <v>2120</v>
      </c>
      <c r="X41" s="757"/>
      <c r="Y41" s="908"/>
      <c r="Z41" s="760" t="s">
        <v>2121</v>
      </c>
      <c r="AA41" s="760" t="s">
        <v>2121</v>
      </c>
      <c r="AB41" s="760" t="s">
        <v>2121</v>
      </c>
      <c r="AC41" s="760" t="s">
        <v>2121</v>
      </c>
      <c r="AD41" s="760"/>
    </row>
    <row r="42" spans="1:30" ht="27" customHeight="1">
      <c r="A42" s="759"/>
      <c r="B42" s="812">
        <v>25</v>
      </c>
      <c r="C42" s="757" t="s">
        <v>2122</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2123</v>
      </c>
      <c r="P42" s="866" t="s">
        <v>2109</v>
      </c>
      <c r="Q42" s="866" t="s">
        <v>2123</v>
      </c>
      <c r="R42" s="866" t="s">
        <v>2109</v>
      </c>
      <c r="S42" s="866"/>
      <c r="T42" s="757" t="s">
        <v>2124</v>
      </c>
      <c r="U42" s="757" t="s">
        <v>2124</v>
      </c>
      <c r="V42" s="757" t="s">
        <v>2124</v>
      </c>
      <c r="W42" s="757" t="s">
        <v>2124</v>
      </c>
      <c r="X42" s="757"/>
      <c r="Y42" s="908"/>
      <c r="Z42" s="760" t="s">
        <v>2125</v>
      </c>
      <c r="AA42" s="760" t="s">
        <v>2125</v>
      </c>
      <c r="AB42" s="760" t="s">
        <v>2125</v>
      </c>
      <c r="AC42" s="760" t="s">
        <v>2125</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2126</v>
      </c>
      <c r="P43" s="866" t="s">
        <v>776</v>
      </c>
      <c r="Q43" s="866" t="s">
        <v>2126</v>
      </c>
      <c r="R43" s="866" t="s">
        <v>776</v>
      </c>
      <c r="S43" s="866"/>
      <c r="T43" s="757" t="s">
        <v>2127</v>
      </c>
      <c r="U43" s="757" t="s">
        <v>2127</v>
      </c>
      <c r="V43" s="757" t="s">
        <v>2127</v>
      </c>
      <c r="W43" s="757" t="s">
        <v>2127</v>
      </c>
      <c r="X43" s="757"/>
      <c r="Y43" s="908"/>
      <c r="Z43" s="760" t="s">
        <v>2128</v>
      </c>
      <c r="AA43" s="760" t="s">
        <v>2128</v>
      </c>
      <c r="AB43" s="760" t="s">
        <v>2128</v>
      </c>
      <c r="AC43" s="760" t="s">
        <v>2128</v>
      </c>
      <c r="AD43" s="760"/>
    </row>
    <row r="44" spans="1:30" ht="27" customHeight="1">
      <c r="A44" s="759"/>
      <c r="B44" s="812">
        <v>27</v>
      </c>
      <c r="C44" s="757" t="s">
        <v>2129</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2130</v>
      </c>
      <c r="P44" s="866" t="s">
        <v>2131</v>
      </c>
      <c r="Q44" s="866" t="s">
        <v>2130</v>
      </c>
      <c r="R44" s="866" t="s">
        <v>2131</v>
      </c>
      <c r="S44" s="866"/>
      <c r="T44" s="757" t="s">
        <v>2120</v>
      </c>
      <c r="U44" s="757" t="s">
        <v>2120</v>
      </c>
      <c r="V44" s="757" t="s">
        <v>2120</v>
      </c>
      <c r="W44" s="757" t="s">
        <v>2120</v>
      </c>
      <c r="X44" s="757"/>
      <c r="Y44" s="908"/>
      <c r="Z44" s="760" t="s">
        <v>2132</v>
      </c>
      <c r="AA44" s="760" t="s">
        <v>2132</v>
      </c>
      <c r="AB44" s="760" t="s">
        <v>2132</v>
      </c>
      <c r="AC44" s="760" t="s">
        <v>2132</v>
      </c>
      <c r="AD44" s="760"/>
    </row>
    <row r="45" spans="1:30" ht="27" customHeight="1">
      <c r="A45" s="759"/>
      <c r="B45" s="812">
        <v>28</v>
      </c>
      <c r="C45" s="757" t="s">
        <v>2133</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2134</v>
      </c>
      <c r="P45" s="866" t="s">
        <v>2135</v>
      </c>
      <c r="Q45" s="866" t="s">
        <v>2134</v>
      </c>
      <c r="R45" s="866" t="s">
        <v>2135</v>
      </c>
      <c r="S45" s="866"/>
      <c r="T45" s="757" t="s">
        <v>2124</v>
      </c>
      <c r="U45" s="757" t="s">
        <v>2124</v>
      </c>
      <c r="V45" s="757" t="s">
        <v>2124</v>
      </c>
      <c r="W45" s="757" t="s">
        <v>2124</v>
      </c>
      <c r="X45" s="757"/>
      <c r="Y45" s="908"/>
      <c r="Z45" s="760" t="s">
        <v>2136</v>
      </c>
      <c r="AA45" s="760" t="s">
        <v>2136</v>
      </c>
      <c r="AB45" s="760" t="s">
        <v>2136</v>
      </c>
      <c r="AC45" s="760" t="s">
        <v>2136</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2137</v>
      </c>
      <c r="P46" s="866" t="s">
        <v>2115</v>
      </c>
      <c r="Q46" s="866" t="s">
        <v>2137</v>
      </c>
      <c r="R46" s="866" t="s">
        <v>2115</v>
      </c>
      <c r="S46" s="866"/>
      <c r="T46" s="757" t="s">
        <v>2138</v>
      </c>
      <c r="U46" s="757" t="s">
        <v>2138</v>
      </c>
      <c r="V46" s="757" t="s">
        <v>2138</v>
      </c>
      <c r="W46" s="757" t="s">
        <v>2138</v>
      </c>
      <c r="X46" s="757"/>
      <c r="Y46" s="908"/>
      <c r="Z46" s="760" t="s">
        <v>2139</v>
      </c>
      <c r="AA46" s="760" t="s">
        <v>2140</v>
      </c>
      <c r="AB46" s="760" t="s">
        <v>2140</v>
      </c>
      <c r="AC46" s="760" t="s">
        <v>2140</v>
      </c>
      <c r="AD46" s="760"/>
    </row>
    <row r="47" spans="1:30" ht="54" customHeight="1">
      <c r="A47" s="759"/>
      <c r="B47" s="812">
        <v>30</v>
      </c>
      <c r="C47" s="757" t="s">
        <v>2141</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2142</v>
      </c>
      <c r="P47" s="866" t="s">
        <v>2119</v>
      </c>
      <c r="Q47" s="866" t="s">
        <v>2142</v>
      </c>
      <c r="R47" s="866" t="s">
        <v>2119</v>
      </c>
      <c r="S47" s="866"/>
      <c r="T47" s="757" t="s">
        <v>2143</v>
      </c>
      <c r="U47" s="757" t="s">
        <v>2143</v>
      </c>
      <c r="V47" s="757" t="s">
        <v>2143</v>
      </c>
      <c r="W47" s="757" t="s">
        <v>2143</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2126</v>
      </c>
      <c r="Q48" s="866" t="s">
        <v>2144</v>
      </c>
      <c r="R48" s="866" t="s">
        <v>2126</v>
      </c>
      <c r="S48" s="866"/>
      <c r="T48" s="757"/>
      <c r="U48" s="757" t="s">
        <v>2145</v>
      </c>
      <c r="V48" s="757" t="s">
        <v>2146</v>
      </c>
      <c r="W48" s="757" t="s">
        <v>2146</v>
      </c>
      <c r="X48" s="757"/>
      <c r="Y48" s="908"/>
      <c r="Z48" s="760"/>
      <c r="AA48" s="763" t="s">
        <v>2140</v>
      </c>
      <c r="AB48" s="763" t="s">
        <v>2140</v>
      </c>
      <c r="AC48" s="763" t="s">
        <v>2140</v>
      </c>
      <c r="AD48" s="760"/>
    </row>
    <row r="49" spans="1:30" ht="54" customHeight="1">
      <c r="A49" s="759"/>
      <c r="B49" s="812">
        <v>32</v>
      </c>
      <c r="C49" s="757" t="s">
        <v>2147</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2130</v>
      </c>
      <c r="Q49" s="866" t="s">
        <v>2148</v>
      </c>
      <c r="R49" s="866" t="s">
        <v>2130</v>
      </c>
      <c r="S49" s="866"/>
      <c r="T49" s="757"/>
      <c r="U49" s="757" t="s">
        <v>2143</v>
      </c>
      <c r="V49" s="757" t="s">
        <v>2143</v>
      </c>
      <c r="W49" s="757" t="s">
        <v>2143</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2144</v>
      </c>
      <c r="P50" s="866" t="s">
        <v>2137</v>
      </c>
      <c r="Q50" s="866" t="s">
        <v>2149</v>
      </c>
      <c r="R50" s="866" t="s">
        <v>2137</v>
      </c>
      <c r="S50" s="866"/>
      <c r="T50" s="757" t="s">
        <v>2150</v>
      </c>
      <c r="U50" s="757" t="s">
        <v>2151</v>
      </c>
      <c r="V50" s="757" t="s">
        <v>2152</v>
      </c>
      <c r="W50" s="757" t="s">
        <v>2153</v>
      </c>
      <c r="X50" s="757"/>
      <c r="Y50" s="908"/>
      <c r="Z50" s="760" t="s">
        <v>2154</v>
      </c>
      <c r="AA50" s="763" t="s">
        <v>2155</v>
      </c>
      <c r="AB50" s="763" t="s">
        <v>2155</v>
      </c>
      <c r="AC50" s="763" t="s">
        <v>2155</v>
      </c>
      <c r="AD50" s="760"/>
    </row>
    <row r="51" spans="1:30" ht="27" customHeight="1">
      <c r="A51" s="759"/>
      <c r="B51" s="812">
        <v>34</v>
      </c>
      <c r="C51" s="757" t="s">
        <v>2156</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2157</v>
      </c>
      <c r="U51" s="757"/>
      <c r="V51" s="757"/>
      <c r="W51" s="757"/>
      <c r="X51" s="757"/>
      <c r="Y51" s="908"/>
      <c r="Z51" s="760"/>
      <c r="AA51" s="763"/>
      <c r="AB51" s="763"/>
      <c r="AC51" s="763"/>
      <c r="AD51" s="760"/>
    </row>
    <row r="52" spans="1:30" ht="36" customHeight="1">
      <c r="A52" s="759"/>
      <c r="B52" s="812">
        <v>35</v>
      </c>
      <c r="C52" s="757" t="s">
        <v>2049</v>
      </c>
      <c r="D52" s="876" t="s">
        <v>2049</v>
      </c>
      <c r="E52" s="757" t="s">
        <v>2049</v>
      </c>
      <c r="F52" s="757" t="s">
        <v>2049</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2158</v>
      </c>
      <c r="U52" s="757" t="s">
        <v>2159</v>
      </c>
      <c r="V52" s="757" t="s">
        <v>2160</v>
      </c>
      <c r="W52" s="757" t="s">
        <v>2161</v>
      </c>
      <c r="X52" s="757"/>
      <c r="Y52" s="908"/>
      <c r="Z52" s="760" t="s">
        <v>780</v>
      </c>
      <c r="AA52" s="763" t="s">
        <v>780</v>
      </c>
      <c r="AB52" s="763" t="s">
        <v>780</v>
      </c>
      <c r="AC52" s="763" t="s">
        <v>780</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784</v>
      </c>
      <c r="P53" s="866" t="s">
        <v>444</v>
      </c>
      <c r="Q53" s="866" t="s">
        <v>444</v>
      </c>
      <c r="R53" s="866" t="s">
        <v>444</v>
      </c>
      <c r="S53" s="866"/>
      <c r="T53" s="757" t="s">
        <v>2162</v>
      </c>
      <c r="U53" s="757" t="s">
        <v>2162</v>
      </c>
      <c r="V53" s="757" t="s">
        <v>2162</v>
      </c>
      <c r="W53" s="757" t="s">
        <v>2162</v>
      </c>
      <c r="X53" s="757"/>
      <c r="Y53" s="908"/>
      <c r="Z53" s="760"/>
      <c r="AA53" s="763"/>
      <c r="AB53" s="760"/>
      <c r="AC53" s="760"/>
      <c r="AD53" s="760"/>
    </row>
    <row r="54" spans="1:30" ht="18" customHeight="1">
      <c r="A54" s="759"/>
      <c r="B54" s="812">
        <v>37</v>
      </c>
      <c r="C54" s="757" t="s">
        <v>2055</v>
      </c>
      <c r="D54" s="876" t="s">
        <v>2055</v>
      </c>
      <c r="E54" s="757" t="s">
        <v>2055</v>
      </c>
      <c r="F54" s="757" t="s">
        <v>2055</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115</v>
      </c>
      <c r="P54" s="866" t="s">
        <v>90</v>
      </c>
      <c r="Q54" s="866" t="s">
        <v>90</v>
      </c>
      <c r="R54" s="866" t="s">
        <v>90</v>
      </c>
      <c r="S54" s="866"/>
      <c r="T54" s="757" t="s">
        <v>782</v>
      </c>
      <c r="U54" s="757" t="s">
        <v>782</v>
      </c>
      <c r="V54" s="757" t="s">
        <v>782</v>
      </c>
      <c r="W54" s="757" t="s">
        <v>782</v>
      </c>
      <c r="X54" s="757"/>
      <c r="Y54" s="908"/>
      <c r="Z54" s="760" t="s">
        <v>783</v>
      </c>
      <c r="AA54" s="760" t="s">
        <v>783</v>
      </c>
      <c r="AB54" s="760" t="s">
        <v>783</v>
      </c>
      <c r="AC54" s="760" t="s">
        <v>783</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433</v>
      </c>
      <c r="P55" s="866" t="s">
        <v>784</v>
      </c>
      <c r="Q55" s="866" t="s">
        <v>784</v>
      </c>
      <c r="R55" s="866" t="s">
        <v>784</v>
      </c>
      <c r="S55" s="866"/>
      <c r="T55" s="757" t="s">
        <v>2163</v>
      </c>
      <c r="U55" s="757" t="s">
        <v>2164</v>
      </c>
      <c r="V55" s="757" t="s">
        <v>2164</v>
      </c>
      <c r="W55" s="757" t="s">
        <v>2164</v>
      </c>
      <c r="X55" s="757"/>
      <c r="Y55" s="908"/>
      <c r="Z55" s="760" t="s">
        <v>2165</v>
      </c>
      <c r="AA55" s="760" t="s">
        <v>2165</v>
      </c>
      <c r="AB55" s="760" t="s">
        <v>2165</v>
      </c>
      <c r="AC55" s="760" t="s">
        <v>2165</v>
      </c>
      <c r="AD55" s="760"/>
    </row>
    <row r="56" spans="1:30" ht="27" customHeight="1">
      <c r="A56" s="759"/>
      <c r="B56" s="812">
        <v>39</v>
      </c>
      <c r="C56" s="757" t="s">
        <v>1053</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1175</v>
      </c>
      <c r="P56" s="866" t="s">
        <v>787</v>
      </c>
      <c r="Q56" s="866" t="s">
        <v>787</v>
      </c>
      <c r="R56" s="866" t="s">
        <v>787</v>
      </c>
      <c r="S56" s="866"/>
      <c r="T56" s="757" t="s">
        <v>2166</v>
      </c>
      <c r="U56" s="757" t="s">
        <v>2167</v>
      </c>
      <c r="V56" s="757" t="s">
        <v>2167</v>
      </c>
      <c r="W56" s="757" t="s">
        <v>2167</v>
      </c>
      <c r="X56" s="757"/>
      <c r="Y56" s="908"/>
      <c r="Z56" s="760" t="s">
        <v>789</v>
      </c>
      <c r="AA56" s="760" t="s">
        <v>789</v>
      </c>
      <c r="AB56" s="760" t="s">
        <v>789</v>
      </c>
      <c r="AC56" s="760" t="s">
        <v>789</v>
      </c>
      <c r="AD56" s="760"/>
    </row>
    <row r="57" spans="1:30" ht="27" customHeight="1">
      <c r="A57" s="759"/>
      <c r="B57" s="812">
        <v>40</v>
      </c>
      <c r="C57" s="757" t="s">
        <v>1055</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2168</v>
      </c>
      <c r="P57" s="866" t="s">
        <v>790</v>
      </c>
      <c r="Q57" s="866" t="s">
        <v>790</v>
      </c>
      <c r="R57" s="866" t="s">
        <v>790</v>
      </c>
      <c r="S57" s="866"/>
      <c r="T57" s="757" t="s">
        <v>2169</v>
      </c>
      <c r="U57" s="757" t="s">
        <v>2170</v>
      </c>
      <c r="V57" s="757" t="s">
        <v>2170</v>
      </c>
      <c r="W57" s="757" t="s">
        <v>2170</v>
      </c>
      <c r="X57" s="757"/>
      <c r="Y57" s="908"/>
      <c r="Z57" s="760" t="s">
        <v>792</v>
      </c>
      <c r="AA57" s="760" t="s">
        <v>792</v>
      </c>
      <c r="AB57" s="760" t="s">
        <v>792</v>
      </c>
      <c r="AC57" s="760" t="s">
        <v>792</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435</v>
      </c>
      <c r="P58" s="866" t="s">
        <v>827</v>
      </c>
      <c r="Q58" s="866" t="s">
        <v>827</v>
      </c>
      <c r="R58" s="866" t="s">
        <v>827</v>
      </c>
      <c r="S58" s="866"/>
      <c r="T58" s="757" t="s">
        <v>2171</v>
      </c>
      <c r="U58" s="757" t="s">
        <v>2171</v>
      </c>
      <c r="V58" s="757" t="s">
        <v>2171</v>
      </c>
      <c r="W58" s="757" t="s">
        <v>2171</v>
      </c>
      <c r="X58" s="757"/>
      <c r="Y58" s="908"/>
      <c r="Z58" s="760"/>
      <c r="AA58" s="763"/>
      <c r="AB58" s="760"/>
      <c r="AC58" s="760"/>
      <c r="AD58" s="760"/>
    </row>
    <row r="59" spans="1:30" ht="36" customHeight="1">
      <c r="A59" s="759"/>
      <c r="B59" s="812">
        <v>42</v>
      </c>
      <c r="C59" s="757">
        <v>3</v>
      </c>
      <c r="D59" s="876" t="s">
        <v>2156</v>
      </c>
      <c r="E59" s="757" t="s">
        <v>2156</v>
      </c>
      <c r="F59" s="757" t="s">
        <v>2156</v>
      </c>
      <c r="G59" s="757"/>
      <c r="H59" s="804"/>
      <c r="I59" s="912">
        <f t="shared" si="7"/>
        <v>0</v>
      </c>
      <c r="J59" s="912">
        <f t="shared" si="8"/>
        <v>0</v>
      </c>
      <c r="K59" s="912">
        <f t="shared" si="9"/>
        <v>0</v>
      </c>
      <c r="L59" s="758" t="str">
        <f t="shared" si="10"/>
        <v/>
      </c>
      <c r="M59" s="758" t="str">
        <f t="shared" si="11"/>
        <v/>
      </c>
      <c r="N59" s="758" t="str">
        <f t="shared" si="12"/>
        <v/>
      </c>
      <c r="O59" s="866"/>
      <c r="P59" s="866" t="s">
        <v>115</v>
      </c>
      <c r="Q59" s="866" t="s">
        <v>115</v>
      </c>
      <c r="R59" s="866" t="s">
        <v>115</v>
      </c>
      <c r="S59" s="866"/>
      <c r="T59" s="757"/>
      <c r="U59" s="757" t="s">
        <v>2172</v>
      </c>
      <c r="V59" s="757" t="s">
        <v>2173</v>
      </c>
      <c r="W59" s="757" t="s">
        <v>2174</v>
      </c>
      <c r="X59" s="757"/>
      <c r="Y59" s="908"/>
      <c r="Z59" s="760"/>
      <c r="AA59" s="763"/>
      <c r="AB59" s="760"/>
      <c r="AC59" s="760"/>
      <c r="AD59" s="760"/>
    </row>
    <row r="60" spans="1:30" ht="81" customHeight="1">
      <c r="A60" s="759"/>
      <c r="B60" s="812">
        <v>43</v>
      </c>
      <c r="C60" s="757" t="s">
        <v>2175</v>
      </c>
      <c r="D60" s="876" t="s">
        <v>2175</v>
      </c>
      <c r="E60" s="757" t="s">
        <v>2175</v>
      </c>
      <c r="F60" s="757" t="s">
        <v>2175</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796</v>
      </c>
      <c r="U60" s="757" t="s">
        <v>796</v>
      </c>
      <c r="V60" s="757" t="s">
        <v>796</v>
      </c>
      <c r="W60" s="757" t="s">
        <v>796</v>
      </c>
      <c r="X60" s="757"/>
      <c r="Y60" s="908"/>
      <c r="Z60" s="760" t="s">
        <v>2176</v>
      </c>
      <c r="AA60" s="763" t="s">
        <v>2177</v>
      </c>
      <c r="AB60" s="760" t="s">
        <v>2178</v>
      </c>
      <c r="AC60" s="760" t="s">
        <v>2177</v>
      </c>
      <c r="AD60" s="760"/>
    </row>
    <row r="61" spans="1:30" ht="9" customHeight="1">
      <c r="A61" s="759"/>
      <c r="B61" s="812">
        <v>44</v>
      </c>
      <c r="C61" s="757"/>
      <c r="D61" s="876" t="s">
        <v>2179</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2180</v>
      </c>
      <c r="V61" s="757"/>
      <c r="W61" s="757"/>
      <c r="X61" s="757"/>
      <c r="Y61" s="908"/>
      <c r="Z61" s="760"/>
      <c r="AA61" s="763"/>
      <c r="AB61" s="760"/>
      <c r="AC61" s="760"/>
      <c r="AD61" s="760"/>
    </row>
    <row r="62" spans="1:30" ht="9" customHeight="1">
      <c r="A62" s="759"/>
      <c r="B62" s="812">
        <v>45</v>
      </c>
      <c r="C62" s="757"/>
      <c r="D62" s="876" t="s">
        <v>2181</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128</v>
      </c>
      <c r="Q62" s="866"/>
      <c r="R62" s="866"/>
      <c r="S62" s="866"/>
      <c r="T62" s="757"/>
      <c r="U62" s="757" t="s">
        <v>2182</v>
      </c>
      <c r="V62" s="757"/>
      <c r="W62" s="757"/>
      <c r="X62" s="757"/>
      <c r="Y62" s="908"/>
      <c r="Z62" s="760"/>
      <c r="AA62" s="763"/>
      <c r="AB62" s="760"/>
      <c r="AC62" s="760"/>
      <c r="AD62" s="760"/>
    </row>
    <row r="63" spans="1:30" ht="18" customHeight="1">
      <c r="A63" s="759"/>
      <c r="B63" s="812">
        <v>46</v>
      </c>
      <c r="C63" s="757"/>
      <c r="D63" s="876" t="s">
        <v>2183</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133</v>
      </c>
      <c r="Q63" s="866"/>
      <c r="R63" s="866"/>
      <c r="S63" s="866"/>
      <c r="T63" s="757"/>
      <c r="U63" s="757" t="s">
        <v>2184</v>
      </c>
      <c r="V63" s="757"/>
      <c r="W63" s="757"/>
      <c r="X63" s="757"/>
      <c r="Y63" s="908"/>
      <c r="Z63" s="760"/>
      <c r="AA63" s="763"/>
      <c r="AB63" s="760"/>
      <c r="AC63" s="760"/>
      <c r="AD63" s="760"/>
    </row>
    <row r="64" spans="1:30" ht="18" customHeight="1">
      <c r="A64" s="759"/>
      <c r="B64" s="812">
        <v>47</v>
      </c>
      <c r="C64" s="757"/>
      <c r="D64" s="876" t="s">
        <v>2185</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138</v>
      </c>
      <c r="Q64" s="866"/>
      <c r="R64" s="866"/>
      <c r="S64" s="866"/>
      <c r="T64" s="757"/>
      <c r="U64" s="757" t="s">
        <v>2186</v>
      </c>
      <c r="V64" s="757"/>
      <c r="W64" s="757"/>
      <c r="X64" s="757"/>
      <c r="Y64" s="908"/>
      <c r="Z64" s="760"/>
      <c r="AA64" s="763" t="s">
        <v>2187</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2097</v>
      </c>
      <c r="Q65" s="866"/>
      <c r="R65" s="866"/>
      <c r="S65" s="866"/>
      <c r="T65" s="757"/>
      <c r="U65" s="757" t="s">
        <v>2188</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2101</v>
      </c>
      <c r="Q66" s="866"/>
      <c r="R66" s="866"/>
      <c r="S66" s="866"/>
      <c r="T66" s="757"/>
      <c r="U66" s="757" t="s">
        <v>2189</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2190</v>
      </c>
      <c r="Q67" s="866"/>
      <c r="R67" s="866"/>
      <c r="S67" s="866"/>
      <c r="T67" s="757"/>
      <c r="U67" s="757" t="s">
        <v>2191</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2192</v>
      </c>
      <c r="Q68" s="866"/>
      <c r="R68" s="866"/>
      <c r="S68" s="866"/>
      <c r="T68" s="757"/>
      <c r="U68" s="757" t="s">
        <v>2193</v>
      </c>
      <c r="V68" s="757"/>
      <c r="W68" s="757"/>
      <c r="X68" s="757"/>
      <c r="Y68" s="908"/>
      <c r="Z68" s="760"/>
      <c r="AA68" s="763"/>
      <c r="AB68" s="760"/>
      <c r="AC68" s="760"/>
      <c r="AD68" s="760"/>
    </row>
    <row r="69" spans="1:30" ht="9" customHeight="1">
      <c r="A69" s="759"/>
      <c r="B69" s="812">
        <v>52</v>
      </c>
      <c r="C69" s="757"/>
      <c r="D69" s="876" t="s">
        <v>2194</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104</v>
      </c>
      <c r="Q69" s="866"/>
      <c r="R69" s="866"/>
      <c r="S69" s="866"/>
      <c r="T69" s="757"/>
      <c r="U69" s="757" t="s">
        <v>2195</v>
      </c>
      <c r="V69" s="757"/>
      <c r="W69" s="757"/>
      <c r="X69" s="757"/>
      <c r="Y69" s="908"/>
      <c r="Z69" s="760"/>
      <c r="AA69" s="763"/>
      <c r="AB69" s="760"/>
      <c r="AC69" s="760"/>
      <c r="AD69" s="760"/>
    </row>
    <row r="70" spans="1:30" ht="27" customHeight="1">
      <c r="A70" s="759"/>
      <c r="B70" s="812">
        <v>53</v>
      </c>
      <c r="C70" s="757"/>
      <c r="D70" s="876"/>
      <c r="E70" s="757" t="s">
        <v>2179</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2196</v>
      </c>
      <c r="W70" s="757"/>
      <c r="X70" s="757"/>
      <c r="Y70" s="908"/>
      <c r="Z70" s="760"/>
      <c r="AA70" s="763"/>
      <c r="AB70" s="760"/>
      <c r="AC70" s="760"/>
      <c r="AD70" s="760"/>
    </row>
    <row r="71" spans="1:30" ht="36" customHeight="1">
      <c r="A71" s="759"/>
      <c r="B71" s="812">
        <v>54</v>
      </c>
      <c r="C71" s="757"/>
      <c r="D71" s="876"/>
      <c r="E71" s="757" t="s">
        <v>2181</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128</v>
      </c>
      <c r="R71" s="866"/>
      <c r="S71" s="866"/>
      <c r="T71" s="757"/>
      <c r="U71" s="757"/>
      <c r="V71" s="757" t="s">
        <v>2197</v>
      </c>
      <c r="W71" s="757"/>
      <c r="X71" s="757"/>
      <c r="Y71" s="908"/>
      <c r="Z71" s="760"/>
      <c r="AA71" s="763"/>
      <c r="AB71" s="760"/>
      <c r="AC71" s="760"/>
      <c r="AD71" s="760"/>
    </row>
    <row r="72" spans="1:30" ht="27" customHeight="1">
      <c r="A72" s="759"/>
      <c r="B72" s="812">
        <v>55</v>
      </c>
      <c r="C72" s="757"/>
      <c r="D72" s="876"/>
      <c r="E72" s="757" t="s">
        <v>2183</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133</v>
      </c>
      <c r="R72" s="866"/>
      <c r="S72" s="866"/>
      <c r="T72" s="757"/>
      <c r="U72" s="757"/>
      <c r="V72" s="757" t="s">
        <v>2198</v>
      </c>
      <c r="W72" s="757"/>
      <c r="X72" s="757"/>
      <c r="Y72" s="908"/>
      <c r="Z72" s="760"/>
      <c r="AA72" s="763"/>
      <c r="AB72" s="760"/>
      <c r="AC72" s="760"/>
      <c r="AD72" s="760"/>
    </row>
    <row r="73" spans="1:30" ht="36" customHeight="1">
      <c r="A73" s="759"/>
      <c r="B73" s="812">
        <v>56</v>
      </c>
      <c r="C73" s="757"/>
      <c r="D73" s="876"/>
      <c r="E73" s="757" t="s">
        <v>2185</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138</v>
      </c>
      <c r="R73" s="866"/>
      <c r="S73" s="866"/>
      <c r="T73" s="757"/>
      <c r="U73" s="757"/>
      <c r="V73" s="757" t="s">
        <v>2199</v>
      </c>
      <c r="W73" s="757"/>
      <c r="X73" s="757"/>
      <c r="Y73" s="908"/>
      <c r="Z73" s="760"/>
      <c r="AA73" s="763"/>
      <c r="AB73" s="760"/>
      <c r="AC73" s="760"/>
      <c r="AD73" s="760"/>
    </row>
    <row r="74" spans="1:30" ht="18" customHeight="1">
      <c r="A74" s="759"/>
      <c r="B74" s="812">
        <v>57</v>
      </c>
      <c r="C74" s="757"/>
      <c r="D74" s="876"/>
      <c r="E74" s="757" t="s">
        <v>2194</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104</v>
      </c>
      <c r="R74" s="866"/>
      <c r="S74" s="866"/>
      <c r="T74" s="757"/>
      <c r="U74" s="757"/>
      <c r="V74" s="757" t="s">
        <v>2200</v>
      </c>
      <c r="W74" s="757"/>
      <c r="X74" s="757"/>
      <c r="Y74" s="908"/>
      <c r="Z74" s="760"/>
      <c r="AA74" s="763"/>
      <c r="AB74" s="760"/>
      <c r="AC74" s="760"/>
      <c r="AD74" s="760"/>
    </row>
    <row r="75" spans="1:30" ht="18" customHeight="1">
      <c r="A75" s="759"/>
      <c r="B75" s="812">
        <v>58</v>
      </c>
      <c r="C75" s="757"/>
      <c r="D75" s="876"/>
      <c r="E75" s="757"/>
      <c r="F75" s="757" t="s">
        <v>2179</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2201</v>
      </c>
      <c r="X75" s="757"/>
      <c r="Y75" s="908"/>
      <c r="Z75" s="760"/>
      <c r="AA75" s="763"/>
      <c r="AB75" s="760"/>
      <c r="AC75" s="760"/>
      <c r="AD75" s="760"/>
    </row>
    <row r="76" spans="1:30" ht="36" customHeight="1">
      <c r="A76" s="759"/>
      <c r="B76" s="812">
        <v>59</v>
      </c>
      <c r="C76" s="757"/>
      <c r="D76" s="876"/>
      <c r="E76" s="757"/>
      <c r="F76" s="757" t="s">
        <v>2181</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128</v>
      </c>
      <c r="S76" s="866"/>
      <c r="T76" s="757"/>
      <c r="U76" s="757"/>
      <c r="V76" s="757"/>
      <c r="W76" s="757" t="s">
        <v>2202</v>
      </c>
      <c r="X76" s="757"/>
      <c r="Y76" s="908"/>
      <c r="Z76" s="760"/>
      <c r="AA76" s="763"/>
      <c r="AB76" s="760"/>
      <c r="AC76" s="760"/>
      <c r="AD76" s="760"/>
    </row>
    <row r="77" spans="1:30" ht="18" customHeight="1">
      <c r="A77" s="759"/>
      <c r="B77" s="812">
        <v>60</v>
      </c>
      <c r="C77" s="757"/>
      <c r="D77" s="876"/>
      <c r="E77" s="757"/>
      <c r="F77" s="757" t="s">
        <v>2183</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133</v>
      </c>
      <c r="S77" s="866"/>
      <c r="T77" s="757"/>
      <c r="U77" s="757"/>
      <c r="V77" s="757"/>
      <c r="W77" s="757" t="s">
        <v>2203</v>
      </c>
      <c r="X77" s="757"/>
      <c r="Y77" s="908"/>
      <c r="Z77" s="760"/>
      <c r="AA77" s="763"/>
      <c r="AB77" s="760"/>
      <c r="AC77" s="760"/>
      <c r="AD77" s="760"/>
    </row>
    <row r="78" spans="1:30" ht="72" customHeight="1">
      <c r="A78" s="759"/>
      <c r="B78" s="812">
        <v>61</v>
      </c>
      <c r="C78" s="757" t="s">
        <v>2179</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2204</v>
      </c>
      <c r="U78" s="757"/>
      <c r="V78" s="757"/>
      <c r="W78" s="757"/>
      <c r="X78" s="757"/>
      <c r="Y78" s="908"/>
      <c r="Z78" s="760" t="s">
        <v>2205</v>
      </c>
      <c r="AA78" s="763"/>
      <c r="AB78" s="760"/>
      <c r="AC78" s="760"/>
      <c r="AD78" s="760"/>
    </row>
    <row r="79" spans="1:30" ht="36" customHeight="1">
      <c r="A79" s="759"/>
      <c r="B79" s="812">
        <v>62</v>
      </c>
      <c r="C79" s="757" t="s">
        <v>2181</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128</v>
      </c>
      <c r="P79" s="866"/>
      <c r="Q79" s="866"/>
      <c r="R79" s="866"/>
      <c r="S79" s="866"/>
      <c r="T79" s="757" t="s">
        <v>2206</v>
      </c>
      <c r="U79" s="757"/>
      <c r="V79" s="757"/>
      <c r="W79" s="757"/>
      <c r="X79" s="757"/>
      <c r="Y79" s="908"/>
      <c r="Z79" s="760" t="s">
        <v>2207</v>
      </c>
      <c r="AA79" s="763"/>
      <c r="AB79" s="760"/>
      <c r="AC79" s="760"/>
      <c r="AD79" s="760"/>
    </row>
    <row r="80" spans="1:30" ht="45" customHeight="1">
      <c r="A80" s="759"/>
      <c r="B80" s="812">
        <v>63</v>
      </c>
      <c r="C80" s="757" t="s">
        <v>2183</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133</v>
      </c>
      <c r="P80" s="866"/>
      <c r="Q80" s="866"/>
      <c r="R80" s="866"/>
      <c r="S80" s="866"/>
      <c r="T80" s="757" t="s">
        <v>2208</v>
      </c>
      <c r="U80" s="757"/>
      <c r="V80" s="757"/>
      <c r="W80" s="757"/>
      <c r="X80" s="757"/>
      <c r="Y80" s="908"/>
      <c r="Z80" s="760" t="s">
        <v>2209</v>
      </c>
      <c r="AA80" s="763"/>
      <c r="AB80" s="760"/>
      <c r="AC80" s="760"/>
      <c r="AD80" s="760"/>
    </row>
    <row r="81" spans="1:30" ht="36" customHeight="1">
      <c r="A81" s="759"/>
      <c r="B81" s="812">
        <v>64</v>
      </c>
      <c r="C81" s="757" t="s">
        <v>2185</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2088</v>
      </c>
      <c r="P81" s="866"/>
      <c r="Q81" s="866"/>
      <c r="R81" s="866"/>
      <c r="S81" s="866"/>
      <c r="T81" s="757" t="s">
        <v>2210</v>
      </c>
      <c r="U81" s="757"/>
      <c r="V81" s="757"/>
      <c r="W81" s="757"/>
      <c r="X81" s="757"/>
      <c r="Y81" s="908"/>
      <c r="Z81" s="760" t="s">
        <v>2211</v>
      </c>
      <c r="AA81" s="763"/>
      <c r="AB81" s="760"/>
      <c r="AC81" s="760"/>
      <c r="AD81" s="760"/>
    </row>
    <row r="82" spans="1:30" ht="90" customHeight="1">
      <c r="A82" s="759"/>
      <c r="B82" s="812">
        <v>65</v>
      </c>
      <c r="C82" s="757" t="s">
        <v>2194</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138</v>
      </c>
      <c r="P82" s="866"/>
      <c r="Q82" s="866"/>
      <c r="R82" s="866"/>
      <c r="S82" s="866"/>
      <c r="T82" s="757" t="s">
        <v>2212</v>
      </c>
      <c r="U82" s="757"/>
      <c r="V82" s="757"/>
      <c r="W82" s="757"/>
      <c r="X82" s="757"/>
      <c r="Y82" s="908"/>
      <c r="Z82" s="760" t="s">
        <v>2213</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2097</v>
      </c>
      <c r="P83" s="866"/>
      <c r="Q83" s="866"/>
      <c r="R83" s="866"/>
      <c r="S83" s="866"/>
      <c r="T83" s="757" t="s">
        <v>2214</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2215</v>
      </c>
      <c r="P84" s="866"/>
      <c r="Q84" s="866"/>
      <c r="R84" s="866"/>
      <c r="S84" s="866"/>
      <c r="T84" s="757" t="s">
        <v>2216</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2101</v>
      </c>
      <c r="P85" s="866"/>
      <c r="Q85" s="866"/>
      <c r="R85" s="866"/>
      <c r="S85" s="866"/>
      <c r="T85" s="757" t="s">
        <v>2217</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2218</v>
      </c>
      <c r="P86" s="866"/>
      <c r="Q86" s="866"/>
      <c r="R86" s="866"/>
      <c r="S86" s="866"/>
      <c r="T86" s="757" t="s">
        <v>2219</v>
      </c>
      <c r="U86" s="757"/>
      <c r="V86" s="757"/>
      <c r="W86" s="757"/>
      <c r="X86" s="757"/>
      <c r="Y86" s="908"/>
      <c r="Z86" s="760"/>
      <c r="AA86" s="763"/>
      <c r="AB86" s="760"/>
      <c r="AC86" s="760"/>
      <c r="AD86" s="760"/>
    </row>
    <row r="87" spans="1:30" ht="36" customHeight="1">
      <c r="A87" s="759"/>
      <c r="B87" s="812">
        <v>70</v>
      </c>
      <c r="C87" s="757" t="s">
        <v>2220</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104</v>
      </c>
      <c r="P87" s="866"/>
      <c r="Q87" s="866"/>
      <c r="R87" s="866"/>
      <c r="S87" s="866"/>
      <c r="T87" s="757" t="s">
        <v>2221</v>
      </c>
      <c r="U87" s="757"/>
      <c r="V87" s="757"/>
      <c r="W87" s="757"/>
      <c r="X87" s="757"/>
      <c r="Y87" s="908"/>
      <c r="Z87" s="760"/>
      <c r="AA87" s="763"/>
      <c r="AB87" s="760"/>
      <c r="AC87" s="760"/>
      <c r="AD87" s="760"/>
    </row>
    <row r="88" spans="1:30" ht="18" customHeight="1">
      <c r="A88" s="759"/>
      <c r="B88" s="812">
        <v>71</v>
      </c>
      <c r="C88" s="757" t="s">
        <v>2222</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147</v>
      </c>
      <c r="P88" s="866"/>
      <c r="Q88" s="866"/>
      <c r="R88" s="866"/>
      <c r="S88" s="866"/>
      <c r="T88" s="757" t="s">
        <v>2223</v>
      </c>
      <c r="U88" s="757"/>
      <c r="V88" s="757"/>
      <c r="W88" s="757"/>
      <c r="X88" s="757"/>
      <c r="Y88" s="908"/>
      <c r="Z88" s="760"/>
      <c r="AA88" s="763"/>
      <c r="AB88" s="760"/>
      <c r="AC88" s="760"/>
      <c r="AD88" s="760"/>
    </row>
    <row r="89" spans="1:30" ht="18" customHeight="1">
      <c r="A89" s="759"/>
      <c r="B89" s="812">
        <v>72</v>
      </c>
      <c r="C89" s="757" t="s">
        <v>2224</v>
      </c>
      <c r="D89" s="876" t="s">
        <v>2220</v>
      </c>
      <c r="E89" s="757" t="s">
        <v>2220</v>
      </c>
      <c r="F89" s="757" t="s">
        <v>2185</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152</v>
      </c>
      <c r="P89" s="866" t="s">
        <v>147</v>
      </c>
      <c r="Q89" s="866" t="s">
        <v>147</v>
      </c>
      <c r="R89" s="866" t="s">
        <v>138</v>
      </c>
      <c r="S89" s="866"/>
      <c r="T89" s="757" t="s">
        <v>2225</v>
      </c>
      <c r="U89" s="757" t="s">
        <v>2225</v>
      </c>
      <c r="V89" s="757" t="s">
        <v>2225</v>
      </c>
      <c r="W89" s="757" t="s">
        <v>2225</v>
      </c>
      <c r="X89" s="757"/>
      <c r="Y89" s="908"/>
      <c r="Z89" s="760"/>
      <c r="AA89" s="763"/>
      <c r="AB89" s="760"/>
      <c r="AC89" s="760"/>
      <c r="AD89" s="760"/>
    </row>
    <row r="90" spans="1:30" ht="27" customHeight="1">
      <c r="A90" s="759"/>
      <c r="B90" s="812">
        <v>73</v>
      </c>
      <c r="C90" s="757" t="s">
        <v>2226</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157</v>
      </c>
      <c r="P90" s="866"/>
      <c r="Q90" s="866"/>
      <c r="R90" s="866"/>
      <c r="S90" s="866"/>
      <c r="T90" s="757" t="s">
        <v>2227</v>
      </c>
      <c r="U90" s="757"/>
      <c r="V90" s="757"/>
      <c r="W90" s="757"/>
      <c r="X90" s="757"/>
      <c r="Y90" s="908"/>
      <c r="Z90" s="760"/>
      <c r="AA90" s="763"/>
      <c r="AB90" s="760"/>
      <c r="AC90" s="760"/>
      <c r="AD90" s="760"/>
    </row>
    <row r="91" spans="1:30" ht="18" customHeight="1">
      <c r="A91" s="759"/>
      <c r="B91" s="812">
        <v>74</v>
      </c>
      <c r="C91" s="757"/>
      <c r="D91" s="876" t="s">
        <v>2222</v>
      </c>
      <c r="E91" s="757" t="s">
        <v>2222</v>
      </c>
      <c r="F91" s="757"/>
      <c r="G91" s="757"/>
      <c r="H91" s="804"/>
      <c r="I91" s="912">
        <f t="shared" si="13"/>
        <v>0</v>
      </c>
      <c r="J91" s="912">
        <f t="shared" si="14"/>
        <v>0</v>
      </c>
      <c r="K91" s="912">
        <f t="shared" si="15"/>
        <v>0</v>
      </c>
      <c r="L91" s="758" t="str">
        <f t="shared" si="16"/>
        <v/>
      </c>
      <c r="M91" s="758" t="str">
        <f t="shared" si="17"/>
        <v/>
      </c>
      <c r="N91" s="758" t="str">
        <f t="shared" si="18"/>
        <v/>
      </c>
      <c r="O91" s="866"/>
      <c r="P91" s="866" t="s">
        <v>152</v>
      </c>
      <c r="Q91" s="866" t="s">
        <v>152</v>
      </c>
      <c r="R91" s="866"/>
      <c r="S91" s="866"/>
      <c r="T91" s="757"/>
      <c r="U91" s="757" t="s">
        <v>2228</v>
      </c>
      <c r="V91" s="757" t="s">
        <v>2228</v>
      </c>
      <c r="W91" s="757"/>
      <c r="X91" s="757"/>
      <c r="Y91" s="908"/>
      <c r="Z91" s="760"/>
      <c r="AA91" s="763"/>
      <c r="AB91" s="760"/>
      <c r="AC91" s="760"/>
      <c r="AD91" s="760"/>
    </row>
    <row r="92" spans="1:30" ht="27" customHeight="1">
      <c r="A92" s="759"/>
      <c r="B92" s="812">
        <v>75</v>
      </c>
      <c r="C92" s="757"/>
      <c r="D92" s="876" t="s">
        <v>2224</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157</v>
      </c>
      <c r="Q92" s="866"/>
      <c r="R92" s="866"/>
      <c r="S92" s="866"/>
      <c r="T92" s="757"/>
      <c r="U92" s="757" t="s">
        <v>2229</v>
      </c>
      <c r="V92" s="757"/>
      <c r="W92" s="757"/>
      <c r="X92" s="757"/>
      <c r="Y92" s="908"/>
      <c r="Z92" s="760"/>
      <c r="AA92" s="763" t="s">
        <v>2230</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2129</v>
      </c>
      <c r="Q93" s="866"/>
      <c r="R93" s="866"/>
      <c r="S93" s="866"/>
      <c r="T93" s="757"/>
      <c r="U93" s="757" t="s">
        <v>2231</v>
      </c>
      <c r="V93" s="757"/>
      <c r="W93" s="757"/>
      <c r="X93" s="757"/>
      <c r="Y93" s="908"/>
      <c r="Z93" s="760"/>
      <c r="AA93" s="763" t="s">
        <v>2232</v>
      </c>
      <c r="AB93" s="760"/>
      <c r="AC93" s="760"/>
      <c r="AD93" s="760"/>
    </row>
    <row r="94" spans="1:30" ht="45" customHeight="1">
      <c r="A94" s="759"/>
      <c r="B94" s="812">
        <v>77</v>
      </c>
      <c r="C94" s="757"/>
      <c r="D94" s="876" t="s">
        <v>2226</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162</v>
      </c>
      <c r="Q94" s="866"/>
      <c r="R94" s="866"/>
      <c r="S94" s="866"/>
      <c r="T94" s="757"/>
      <c r="U94" s="757" t="s">
        <v>2233</v>
      </c>
      <c r="V94" s="757"/>
      <c r="W94" s="757"/>
      <c r="X94" s="757"/>
      <c r="Y94" s="908"/>
      <c r="Z94" s="760"/>
      <c r="AA94" s="763" t="s">
        <v>2234</v>
      </c>
      <c r="AB94" s="760"/>
      <c r="AC94" s="760"/>
      <c r="AD94" s="760"/>
    </row>
    <row r="95" spans="1:30" ht="99" customHeight="1">
      <c r="A95" s="759"/>
      <c r="B95" s="812">
        <v>78</v>
      </c>
      <c r="C95" s="757" t="s">
        <v>2235</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162</v>
      </c>
      <c r="P95" s="866"/>
      <c r="Q95" s="866"/>
      <c r="R95" s="866"/>
      <c r="S95" s="866"/>
      <c r="T95" s="757" t="s">
        <v>2236</v>
      </c>
      <c r="U95" s="757"/>
      <c r="V95" s="757"/>
      <c r="W95" s="757"/>
      <c r="X95" s="757"/>
      <c r="Y95" s="908"/>
      <c r="Z95" s="760"/>
      <c r="AA95" s="763"/>
      <c r="AB95" s="760"/>
      <c r="AC95" s="760"/>
      <c r="AD95" s="760"/>
    </row>
    <row r="96" spans="1:30" ht="99" customHeight="1">
      <c r="A96" s="759"/>
      <c r="B96" s="812">
        <v>79</v>
      </c>
      <c r="C96" s="757" t="s">
        <v>1186</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167</v>
      </c>
      <c r="P96" s="866"/>
      <c r="Q96" s="866"/>
      <c r="R96" s="866"/>
      <c r="S96" s="866"/>
      <c r="T96" s="757" t="s">
        <v>2237</v>
      </c>
      <c r="U96" s="757"/>
      <c r="V96" s="757"/>
      <c r="W96" s="757"/>
      <c r="X96" s="757"/>
      <c r="Y96" s="908"/>
      <c r="Z96" s="760" t="s">
        <v>2238</v>
      </c>
      <c r="AA96" s="763"/>
      <c r="AB96" s="760"/>
      <c r="AC96" s="760"/>
      <c r="AD96" s="760"/>
    </row>
    <row r="97" spans="1:30" ht="63" customHeight="1">
      <c r="A97" s="759"/>
      <c r="B97" s="812">
        <v>80</v>
      </c>
      <c r="C97" s="757" t="s">
        <v>2239</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1601</v>
      </c>
      <c r="P97" s="866"/>
      <c r="Q97" s="866"/>
      <c r="R97" s="866"/>
      <c r="S97" s="866"/>
      <c r="T97" s="757" t="s">
        <v>2240</v>
      </c>
      <c r="U97" s="757"/>
      <c r="V97" s="757"/>
      <c r="W97" s="757"/>
      <c r="X97" s="757"/>
      <c r="Y97" s="908"/>
      <c r="Z97" s="760" t="s">
        <v>2241</v>
      </c>
      <c r="AA97" s="763"/>
      <c r="AB97" s="760"/>
      <c r="AC97" s="760"/>
      <c r="AD97" s="760"/>
    </row>
    <row r="98" spans="1:30" ht="63" customHeight="1">
      <c r="A98" s="759"/>
      <c r="B98" s="812">
        <v>81</v>
      </c>
      <c r="C98" s="757" t="s">
        <v>2242</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1615</v>
      </c>
      <c r="P98" s="866"/>
      <c r="Q98" s="866"/>
      <c r="R98" s="866"/>
      <c r="S98" s="866"/>
      <c r="T98" s="757" t="s">
        <v>2243</v>
      </c>
      <c r="U98" s="757"/>
      <c r="V98" s="757"/>
      <c r="W98" s="757"/>
      <c r="X98" s="757"/>
      <c r="Y98" s="908"/>
      <c r="Z98" s="760" t="s">
        <v>2241</v>
      </c>
      <c r="AA98" s="763"/>
      <c r="AB98" s="760"/>
      <c r="AC98" s="760"/>
      <c r="AD98" s="760"/>
    </row>
    <row r="99" spans="1:30" ht="90" customHeight="1">
      <c r="A99" s="759"/>
      <c r="B99" s="812">
        <v>82</v>
      </c>
      <c r="C99" s="757" t="s">
        <v>2244</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1627</v>
      </c>
      <c r="P99" s="866"/>
      <c r="Q99" s="866"/>
      <c r="R99" s="866"/>
      <c r="S99" s="866"/>
      <c r="T99" s="757" t="s">
        <v>2245</v>
      </c>
      <c r="U99" s="757"/>
      <c r="V99" s="757"/>
      <c r="W99" s="757"/>
      <c r="X99" s="757"/>
      <c r="Y99" s="908"/>
      <c r="Z99" s="760" t="s">
        <v>920</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2246</v>
      </c>
      <c r="P100" s="866"/>
      <c r="Q100" s="866"/>
      <c r="R100" s="866"/>
      <c r="S100" s="866"/>
      <c r="T100" s="757" t="s">
        <v>2247</v>
      </c>
      <c r="U100" s="757"/>
      <c r="V100" s="757"/>
      <c r="W100" s="757"/>
      <c r="X100" s="757"/>
      <c r="Y100" s="908"/>
      <c r="Z100" s="760" t="s">
        <v>920</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2248</v>
      </c>
      <c r="P101" s="866"/>
      <c r="Q101" s="866"/>
      <c r="R101" s="866"/>
      <c r="S101" s="866"/>
      <c r="T101" s="757" t="s">
        <v>2249</v>
      </c>
      <c r="U101" s="757"/>
      <c r="V101" s="757"/>
      <c r="W101" s="757"/>
      <c r="X101" s="757"/>
      <c r="Y101" s="908"/>
      <c r="Z101" s="760" t="s">
        <v>920</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1779</v>
      </c>
      <c r="B148" s="759"/>
      <c r="C148" s="757" t="s">
        <v>2250</v>
      </c>
      <c r="D148" s="757" t="s">
        <v>1682</v>
      </c>
      <c r="E148" s="757" t="s">
        <v>1781</v>
      </c>
      <c r="F148" s="757" t="s">
        <v>2251</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2252</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2253</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1783</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1786</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1791</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0" hidden="1"/>
    <col min="2" max="2" width="11" style="1830" hidden="1" customWidth="1"/>
    <col min="3" max="3" width="10.5703125" style="1830" hidden="1"/>
    <col min="4" max="4" width="11.85546875" style="1830" hidden="1" customWidth="1"/>
    <col min="5" max="5" width="12.28515625" style="1830" hidden="1" customWidth="1"/>
    <col min="6" max="8" width="12.28515625" style="2069" hidden="1" customWidth="1"/>
    <col min="9" max="9" width="3.7109375" style="6571" customWidth="1"/>
    <col min="10" max="11" width="3.7109375" style="2075" customWidth="1"/>
    <col min="12" max="12" width="12.7109375" style="2076" customWidth="1"/>
    <col min="13" max="13" width="32" style="2042" customWidth="1"/>
    <col min="14" max="14" width="1.7109375" style="2042" customWidth="1"/>
    <col min="15" max="18" width="24.7109375" style="2042" customWidth="1"/>
    <col min="19" max="19" width="11.7109375" style="2042" customWidth="1"/>
    <col min="20" max="20" width="3.7109375" style="2042" customWidth="1"/>
    <col min="21" max="21" width="11.7109375" style="2042" customWidth="1"/>
    <col min="22" max="22" width="8.5703125" style="2042" customWidth="1"/>
    <col min="23" max="23" width="4.7109375" style="2042" customWidth="1"/>
    <col min="24" max="24" width="115.7109375" style="2042" customWidth="1"/>
    <col min="25" max="26" width="10.5703125" style="1817"/>
    <col min="27" max="27" width="11.140625" style="1817" customWidth="1"/>
    <col min="28" max="29" width="10.5703125" style="1817"/>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7013" t="s">
        <v>2254</v>
      </c>
      <c r="M5" s="7013"/>
      <c r="N5" s="7013"/>
      <c r="O5" s="7013"/>
      <c r="P5" s="7013"/>
      <c r="Q5" s="7013"/>
      <c r="R5" s="7013"/>
      <c r="S5" s="7013"/>
      <c r="T5" s="7013"/>
      <c r="U5" s="7013"/>
      <c r="V5" s="1152"/>
    </row>
    <row r="6" spans="1:29" ht="14.25" customHeight="1">
      <c r="J6" s="305"/>
      <c r="K6" s="305"/>
      <c r="L6" s="7014" t="str">
        <f>IF(org=0,"Не определено",org)</f>
        <v>ООО "Марикоммунэнерго"</v>
      </c>
      <c r="M6" s="7014"/>
      <c r="N6" s="7014"/>
      <c r="O6" s="7014"/>
      <c r="P6" s="7014"/>
      <c r="Q6" s="7014"/>
      <c r="R6" s="7014"/>
      <c r="S6" s="7014"/>
      <c r="T6" s="7014"/>
      <c r="U6" s="7014"/>
      <c r="V6" s="1152"/>
    </row>
    <row r="7" spans="1:29" ht="14.25" customHeight="1">
      <c r="J7" s="305"/>
      <c r="K7" s="305"/>
      <c r="L7" s="1195"/>
      <c r="M7" s="290"/>
      <c r="N7" s="290"/>
      <c r="O7" s="247"/>
      <c r="P7" s="247"/>
      <c r="Q7" s="247"/>
      <c r="R7" s="247"/>
      <c r="S7" s="247"/>
      <c r="T7" s="247"/>
      <c r="U7" s="247"/>
      <c r="V7" s="247"/>
      <c r="W7" s="435"/>
    </row>
    <row r="8" spans="1:29" s="2072" customFormat="1" ht="45" customHeight="1">
      <c r="A8" s="1284"/>
      <c r="B8" s="1284"/>
      <c r="C8" s="1284"/>
      <c r="D8" s="1284"/>
      <c r="E8" s="1284"/>
      <c r="F8" s="1284"/>
      <c r="G8" s="1284"/>
      <c r="H8" s="1284"/>
      <c r="L8" s="1196"/>
      <c r="M8" s="214" t="s">
        <v>38</v>
      </c>
      <c r="N8" s="223"/>
      <c r="O8" s="6756" t="str">
        <f>IF(TITLE_NAME_OR_PR_CHANGE="",IF(TITLE_NAME_OR_PR="","",TITLE_NAME_OR_PR),TITLE_NAME_OR_PR_CHANGE)</f>
        <v>Министерство промышленности, экономического развития и торговли Республики Марий Эл</v>
      </c>
      <c r="P8" s="6756"/>
      <c r="Q8" s="6756"/>
      <c r="R8" s="6756"/>
      <c r="S8" s="6756"/>
      <c r="T8" s="6756"/>
      <c r="U8" s="6756"/>
      <c r="V8" s="253"/>
      <c r="W8" s="253"/>
      <c r="X8" s="200"/>
      <c r="Y8" s="296"/>
      <c r="Z8" s="296"/>
      <c r="AA8" s="296"/>
      <c r="AB8" s="296"/>
      <c r="AC8" s="296"/>
    </row>
    <row r="9" spans="1:29" s="2072" customFormat="1" ht="22.5" customHeight="1">
      <c r="A9" s="1284"/>
      <c r="B9" s="1284"/>
      <c r="C9" s="1284"/>
      <c r="D9" s="1284"/>
      <c r="E9" s="1284"/>
      <c r="F9" s="1284"/>
      <c r="G9" s="1284"/>
      <c r="H9" s="1284"/>
      <c r="L9" s="1196"/>
      <c r="M9" s="214" t="s">
        <v>540</v>
      </c>
      <c r="N9" s="223"/>
      <c r="O9" s="6756">
        <f>IF(TITLE_DATE_CHANGE_PERIOD="",IF(TITLE_DATE_PR="","",TITLE_DATE_PR),TITLE_DATE_CHANGE_PERIOD)</f>
        <v>45280.426180555558</v>
      </c>
      <c r="P9" s="6756"/>
      <c r="Q9" s="6756"/>
      <c r="R9" s="6756"/>
      <c r="S9" s="6756"/>
      <c r="T9" s="6756"/>
      <c r="U9" s="6756"/>
      <c r="V9" s="253"/>
      <c r="W9" s="253"/>
      <c r="X9" s="200"/>
      <c r="Y9" s="296"/>
      <c r="Z9" s="296"/>
      <c r="AA9" s="296"/>
      <c r="AB9" s="296"/>
      <c r="AC9" s="296"/>
    </row>
    <row r="10" spans="1:29" s="2072" customFormat="1" ht="22.5" customHeight="1">
      <c r="A10" s="1284"/>
      <c r="B10" s="1284"/>
      <c r="C10" s="1284"/>
      <c r="D10" s="1284"/>
      <c r="E10" s="1284"/>
      <c r="F10" s="1284"/>
      <c r="G10" s="1284"/>
      <c r="H10" s="1284"/>
      <c r="L10" s="1160"/>
      <c r="M10" s="214" t="s">
        <v>541</v>
      </c>
      <c r="N10" s="223"/>
      <c r="O10" s="6756" t="str">
        <f>IF(TITLE_NUMBER_PR_CHANGE="",IF(TITLE_NUMBER_PR="","",TITLE_NUMBER_PR),TITLE_NUMBER_PR_CHANGE)</f>
        <v>124 т, 125 т, 126 т, 169 т</v>
      </c>
      <c r="P10" s="6756"/>
      <c r="Q10" s="6756"/>
      <c r="R10" s="6756"/>
      <c r="S10" s="6756"/>
      <c r="T10" s="6756"/>
      <c r="U10" s="6756"/>
      <c r="V10" s="253"/>
      <c r="W10" s="253"/>
      <c r="X10" s="200"/>
      <c r="Y10" s="296"/>
      <c r="Z10" s="296"/>
      <c r="AA10" s="296"/>
      <c r="AB10" s="296"/>
      <c r="AC10" s="296"/>
    </row>
    <row r="11" spans="1:29" s="2072" customFormat="1" ht="22.5" customHeight="1">
      <c r="A11" s="1284"/>
      <c r="B11" s="1284"/>
      <c r="C11" s="1284"/>
      <c r="D11" s="1284"/>
      <c r="E11" s="1284"/>
      <c r="F11" s="1284"/>
      <c r="G11" s="1284"/>
      <c r="H11" s="1284"/>
      <c r="L11" s="1160"/>
      <c r="M11" s="214" t="s">
        <v>40</v>
      </c>
      <c r="N11" s="223"/>
      <c r="O11" s="6756" t="str">
        <f>IF(TITLE_IST_PUB_CHANGE="",IF(TITLE_IST_PUB="","",TITLE_IST_PUB),TITLE_IST_PUB_CHANGE)</f>
        <v>портал Официальное опубликование нормативных правовых актов  Республики Марий Эл</v>
      </c>
      <c r="P11" s="6756"/>
      <c r="Q11" s="6756"/>
      <c r="R11" s="6756"/>
      <c r="S11" s="6756"/>
      <c r="T11" s="6756"/>
      <c r="U11" s="6756"/>
      <c r="V11" s="253"/>
      <c r="W11" s="253"/>
      <c r="X11" s="200"/>
      <c r="Y11" s="296"/>
      <c r="Z11" s="296"/>
      <c r="AA11" s="296"/>
      <c r="AB11" s="296"/>
      <c r="AC11" s="296"/>
    </row>
    <row r="12" spans="1:29" s="2072" customFormat="1" ht="11.25" hidden="1" customHeight="1">
      <c r="A12" s="1284"/>
      <c r="B12" s="1284"/>
      <c r="C12" s="1284"/>
      <c r="D12" s="1284"/>
      <c r="E12" s="1284"/>
      <c r="F12" s="1284"/>
      <c r="G12" s="1284"/>
      <c r="H12" s="1284"/>
      <c r="L12" s="7015"/>
      <c r="M12" s="7015"/>
      <c r="N12" s="1206"/>
      <c r="O12" s="253"/>
      <c r="P12" s="253"/>
      <c r="Q12" s="253"/>
      <c r="R12" s="253"/>
      <c r="S12" s="253"/>
      <c r="T12" s="253"/>
      <c r="U12" s="253"/>
      <c r="V12" s="198" t="s">
        <v>544</v>
      </c>
      <c r="Y12" s="296"/>
      <c r="Z12" s="296"/>
      <c r="AA12" s="296"/>
      <c r="AB12" s="296"/>
      <c r="AC12" s="296"/>
    </row>
    <row r="13" spans="1:29" ht="14.25" customHeight="1">
      <c r="J13" s="305"/>
      <c r="K13" s="305"/>
      <c r="L13" s="1195"/>
      <c r="M13" s="290"/>
      <c r="N13" s="1153"/>
      <c r="O13" s="6757"/>
      <c r="P13" s="6757"/>
      <c r="Q13" s="6757"/>
      <c r="R13" s="6757"/>
      <c r="S13" s="6757"/>
      <c r="T13" s="6757"/>
      <c r="U13" s="6757"/>
      <c r="V13" s="6757"/>
    </row>
    <row r="14" spans="1:29" ht="14.25" customHeight="1">
      <c r="J14" s="305"/>
      <c r="K14" s="305"/>
      <c r="L14" s="6629" t="s">
        <v>418</v>
      </c>
      <c r="M14" s="6629"/>
      <c r="N14" s="6629"/>
      <c r="O14" s="6629"/>
      <c r="P14" s="6629"/>
      <c r="Q14" s="6629"/>
      <c r="R14" s="6629"/>
      <c r="S14" s="6629"/>
      <c r="T14" s="6629"/>
      <c r="U14" s="6629"/>
      <c r="V14" s="6629"/>
      <c r="W14" s="6629"/>
      <c r="X14" s="6629" t="s">
        <v>419</v>
      </c>
    </row>
    <row r="15" spans="1:29" ht="14.25" customHeight="1">
      <c r="J15" s="305"/>
      <c r="K15" s="305"/>
      <c r="L15" s="6771" t="s">
        <v>87</v>
      </c>
      <c r="M15" s="6723" t="s">
        <v>545</v>
      </c>
      <c r="N15" s="220"/>
      <c r="O15" s="6772" t="s">
        <v>2255</v>
      </c>
      <c r="P15" s="6773"/>
      <c r="Q15" s="6773"/>
      <c r="R15" s="6773"/>
      <c r="S15" s="6773"/>
      <c r="T15" s="6773"/>
      <c r="U15" s="6774"/>
      <c r="V15" s="6775" t="s">
        <v>547</v>
      </c>
      <c r="W15" s="6778" t="s">
        <v>1183</v>
      </c>
      <c r="X15" s="6629"/>
    </row>
    <row r="16" spans="1:29" ht="33.75" customHeight="1">
      <c r="J16" s="305"/>
      <c r="K16" s="305"/>
      <c r="L16" s="6771"/>
      <c r="M16" s="6723"/>
      <c r="N16" s="938"/>
      <c r="O16" s="6693" t="s">
        <v>550</v>
      </c>
      <c r="P16" s="6693" t="s">
        <v>551</v>
      </c>
      <c r="Q16" s="6600" t="s">
        <v>552</v>
      </c>
      <c r="R16" s="6599"/>
      <c r="S16" s="6600" t="s">
        <v>565</v>
      </c>
      <c r="T16" s="6605"/>
      <c r="U16" s="6599"/>
      <c r="V16" s="6776"/>
      <c r="W16" s="6779"/>
      <c r="X16" s="6629"/>
    </row>
    <row r="17" spans="1:29" ht="33.75" customHeight="1">
      <c r="A17" s="1286" t="s">
        <v>200</v>
      </c>
      <c r="B17" s="1286" t="s">
        <v>201</v>
      </c>
      <c r="C17" s="1286" t="s">
        <v>202</v>
      </c>
      <c r="D17" s="1286" t="s">
        <v>203</v>
      </c>
      <c r="E17" s="1286"/>
      <c r="J17" s="305"/>
      <c r="K17" s="305"/>
      <c r="L17" s="6771"/>
      <c r="M17" s="6723"/>
      <c r="N17" s="221"/>
      <c r="O17" s="6742"/>
      <c r="P17" s="6742"/>
      <c r="Q17" s="1128" t="s">
        <v>561</v>
      </c>
      <c r="R17" s="1128" t="s">
        <v>562</v>
      </c>
      <c r="S17" s="1211" t="s">
        <v>563</v>
      </c>
      <c r="T17" s="6731" t="s">
        <v>564</v>
      </c>
      <c r="U17" s="6733"/>
      <c r="V17" s="6777"/>
      <c r="W17" s="6780"/>
      <c r="X17" s="6629"/>
    </row>
    <row r="18" spans="1:29" s="1816" customFormat="1" ht="11.25" customHeight="1">
      <c r="A18" s="1286"/>
      <c r="B18" s="1286"/>
      <c r="C18" s="1286"/>
      <c r="D18" s="1286"/>
      <c r="E18" s="1286"/>
      <c r="F18" s="1278"/>
      <c r="G18" s="1278"/>
      <c r="H18" s="1278"/>
      <c r="I18" s="1155"/>
      <c r="J18" s="1156"/>
      <c r="K18" s="1171">
        <v>1</v>
      </c>
      <c r="L18" s="1197" t="s">
        <v>178</v>
      </c>
      <c r="M18" s="1172" t="s">
        <v>98</v>
      </c>
      <c r="N18" s="1154" t="str">
        <f ca="1">OFFSET(N18,0,-1)</f>
        <v>2</v>
      </c>
      <c r="O18" s="1208">
        <f ca="1">OFFSET(O18,0,-1)+1</f>
        <v>3</v>
      </c>
      <c r="P18" s="1208"/>
      <c r="Q18" s="1208">
        <f ca="1">OFFSET(Q18,0,-1)+1</f>
        <v>1</v>
      </c>
      <c r="R18" s="1208">
        <f ca="1">OFFSET(R18,0,-1)+1</f>
        <v>2</v>
      </c>
      <c r="S18" s="1208">
        <f ca="1">OFFSET(S18,0,-1)+1</f>
        <v>3</v>
      </c>
      <c r="T18" s="6770">
        <f ca="1">OFFSET(T18,0,-1)+1</f>
        <v>4</v>
      </c>
      <c r="U18" s="6770"/>
      <c r="V18" s="1208">
        <f ca="1">OFFSET(V18,0,-2)+1</f>
        <v>5</v>
      </c>
      <c r="W18" s="1154">
        <f ca="1">OFFSET(W18,0,-1)</f>
        <v>5</v>
      </c>
      <c r="X18" s="1208">
        <f ca="1">OFFSET(X18,0,-1)+1</f>
        <v>6</v>
      </c>
      <c r="Y18" s="437"/>
      <c r="Z18" s="437"/>
      <c r="AA18" s="437"/>
      <c r="AB18" s="437"/>
      <c r="AC18" s="437"/>
    </row>
    <row r="19" spans="1:29" ht="21" customHeight="1">
      <c r="A19" s="1279" t="s">
        <v>278</v>
      </c>
      <c r="B19" s="1279" t="s">
        <v>279</v>
      </c>
      <c r="C19" s="1279" t="s">
        <v>280</v>
      </c>
      <c r="D19" s="1279" t="s">
        <v>281</v>
      </c>
      <c r="E19" s="1279"/>
      <c r="F19" s="1281"/>
      <c r="G19" s="1281"/>
      <c r="H19" s="1281"/>
      <c r="I19" s="286"/>
      <c r="J19" s="285"/>
      <c r="K19" s="280"/>
      <c r="L19" s="1212">
        <f>INDEX(PT_DIFFERENTIATION_NUM_NTAR,MATCH(A19,PT_DIFFERENTIATION_NTAR_ID,0))</f>
        <v>1</v>
      </c>
      <c r="M19" s="217" t="s">
        <v>189</v>
      </c>
      <c r="N19" s="219"/>
      <c r="O19" s="7016" t="str">
        <f>INDEX(PT_DIFFERENTIATION_NTAR,MATCH(A19,PT_DIFFERENTIATION_NTAR_ID,0))</f>
        <v>Тариф на теплоноситель, поставляемый потребителям</v>
      </c>
      <c r="P19" s="7016"/>
      <c r="Q19" s="7016"/>
      <c r="R19" s="7016"/>
      <c r="S19" s="7016"/>
      <c r="T19" s="7016"/>
      <c r="U19" s="7016"/>
      <c r="V19" s="7016"/>
      <c r="W19" s="7016"/>
      <c r="X19" s="1177" t="s">
        <v>516</v>
      </c>
      <c r="Z19" s="426"/>
      <c r="AA19" s="426" t="str">
        <f t="shared" ref="AA19:AA32" si="0">IF(M19="","",M19)</f>
        <v>Наименование тарифа</v>
      </c>
      <c r="AB19" s="426"/>
      <c r="AC19" s="426"/>
    </row>
    <row r="20" spans="1:29" ht="21" customHeight="1">
      <c r="A20" s="1279" t="s">
        <v>278</v>
      </c>
      <c r="B20" s="1279" t="s">
        <v>279</v>
      </c>
      <c r="C20" s="1279" t="s">
        <v>280</v>
      </c>
      <c r="D20" s="1279" t="s">
        <v>281</v>
      </c>
      <c r="E20" s="1279"/>
      <c r="F20" s="1281"/>
      <c r="G20" s="1281"/>
      <c r="H20" s="1281"/>
      <c r="I20" s="1209"/>
      <c r="J20" s="277"/>
      <c r="K20" s="278"/>
      <c r="L20" s="1212" t="str">
        <f>INDEX(PT_DIFFERENTIATION_NUM_TER,MATCH(B19,PT_DIFFERENTIATION_TER_ID,0))</f>
        <v>1.1</v>
      </c>
      <c r="M20" s="229" t="s">
        <v>517</v>
      </c>
      <c r="N20" s="219"/>
      <c r="O20" s="7016" t="str">
        <f>INDEX(PT_DIFFERENTIATION_TER,MATCH(B19,PT_DIFFERENTIATION_TER_ID,0))</f>
        <v>Территория 3</v>
      </c>
      <c r="P20" s="7016"/>
      <c r="Q20" s="7016"/>
      <c r="R20" s="7016"/>
      <c r="S20" s="7016"/>
      <c r="T20" s="7016"/>
      <c r="U20" s="7016"/>
      <c r="V20" s="7016"/>
      <c r="W20" s="7016"/>
      <c r="X20" s="1177" t="s">
        <v>518</v>
      </c>
      <c r="Z20" s="426"/>
      <c r="AA20" s="426" t="str">
        <f t="shared" si="0"/>
        <v>Территория действия тарифа</v>
      </c>
      <c r="AB20" s="426"/>
      <c r="AC20" s="426"/>
    </row>
    <row r="21" spans="1:29" ht="22.5" customHeight="1">
      <c r="A21" s="1279" t="s">
        <v>278</v>
      </c>
      <c r="B21" s="1279" t="s">
        <v>279</v>
      </c>
      <c r="C21" s="1279" t="s">
        <v>280</v>
      </c>
      <c r="D21" s="1279" t="s">
        <v>281</v>
      </c>
      <c r="E21" s="1279"/>
      <c r="F21" s="1281"/>
      <c r="G21" s="1281"/>
      <c r="H21" s="1281"/>
      <c r="I21" s="279"/>
      <c r="J21" s="277"/>
      <c r="K21" s="278"/>
      <c r="L21" s="1212" t="str">
        <f>INDEX(PT_DIFFERENTIATION_NUM_CS,MATCH(C19,PT_DIFFERENTIATION_CS_ID,0))</f>
        <v>1.1.1</v>
      </c>
      <c r="M21" s="230" t="s">
        <v>519</v>
      </c>
      <c r="N21" s="219"/>
      <c r="O21" s="7016" t="str">
        <f>INDEX(PT_DIFFERENTIATION_CS,MATCH(C19,PT_DIFFERENTIATION_CS_ID,0))</f>
        <v>без дифференциации</v>
      </c>
      <c r="P21" s="7016"/>
      <c r="Q21" s="7016"/>
      <c r="R21" s="7016"/>
      <c r="S21" s="7016"/>
      <c r="T21" s="7016"/>
      <c r="U21" s="7016"/>
      <c r="V21" s="7016"/>
      <c r="W21" s="7016"/>
      <c r="X21" s="1177" t="s">
        <v>520</v>
      </c>
      <c r="Z21" s="426"/>
      <c r="AA21" s="426" t="str">
        <f t="shared" si="0"/>
        <v xml:space="preserve">Наименование системы теплоснабжения </v>
      </c>
      <c r="AB21" s="426"/>
      <c r="AC21" s="426"/>
    </row>
    <row r="22" spans="1:29" ht="21" customHeight="1">
      <c r="A22" s="1279" t="s">
        <v>278</v>
      </c>
      <c r="B22" s="1279" t="s">
        <v>279</v>
      </c>
      <c r="C22" s="1279" t="s">
        <v>280</v>
      </c>
      <c r="D22" s="1279" t="s">
        <v>281</v>
      </c>
      <c r="E22" s="1279"/>
      <c r="F22" s="1281"/>
      <c r="G22" s="1281"/>
      <c r="H22" s="1281"/>
      <c r="I22" s="279"/>
      <c r="J22" s="277"/>
      <c r="K22" s="278"/>
      <c r="L22" s="1212" t="str">
        <f>INDEX(PT_DIFFERENTIATION_NUM_IST_TE,MATCH(D19,PT_DIFFERENTIATION_IST_TE_ID,0))</f>
        <v>1.1.1.1</v>
      </c>
      <c r="M22" s="231" t="s">
        <v>521</v>
      </c>
      <c r="N22" s="219"/>
      <c r="O22" s="7016" t="str">
        <f>INDEX(PT_DIFFERENTIATION_IST_TE,MATCH(D19,PT_DIFFERENTIATION_IST_TE_ID,0))</f>
        <v>без дифференциации</v>
      </c>
      <c r="P22" s="7016"/>
      <c r="Q22" s="7016"/>
      <c r="R22" s="7016"/>
      <c r="S22" s="7016"/>
      <c r="T22" s="7016"/>
      <c r="U22" s="7016"/>
      <c r="V22" s="7016"/>
      <c r="W22" s="7016"/>
      <c r="X22" s="1177" t="s">
        <v>522</v>
      </c>
      <c r="Z22" s="426"/>
      <c r="AA22" s="426" t="str">
        <f t="shared" si="0"/>
        <v xml:space="preserve">Источник тепловой энергии  </v>
      </c>
      <c r="AB22" s="426"/>
      <c r="AC22" s="426"/>
    </row>
    <row r="23" spans="1:29" ht="94.5" customHeight="1">
      <c r="A23" s="1279" t="s">
        <v>278</v>
      </c>
      <c r="B23" s="1279" t="s">
        <v>279</v>
      </c>
      <c r="C23" s="1279" t="s">
        <v>280</v>
      </c>
      <c r="D23" s="1279" t="s">
        <v>281</v>
      </c>
      <c r="E23" s="1279"/>
      <c r="F23" s="6607" t="str">
        <f>L22&amp;".1"</f>
        <v>1.1.1.1.1</v>
      </c>
      <c r="I23" s="6762">
        <v>1</v>
      </c>
      <c r="J23" s="1210"/>
      <c r="K23" s="281"/>
      <c r="L23" s="1212" t="str">
        <f>$F$23</f>
        <v>1.1.1.1.1</v>
      </c>
      <c r="M23" s="204" t="s">
        <v>524</v>
      </c>
      <c r="N23" s="219"/>
      <c r="O23" s="7017"/>
      <c r="P23" s="7017"/>
      <c r="Q23" s="7017"/>
      <c r="R23" s="7017"/>
      <c r="S23" s="7017"/>
      <c r="T23" s="7017"/>
      <c r="U23" s="7017"/>
      <c r="V23" s="7017"/>
      <c r="W23" s="7017"/>
      <c r="X23" s="1177" t="s">
        <v>525</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278</v>
      </c>
      <c r="B24" s="1279" t="s">
        <v>279</v>
      </c>
      <c r="C24" s="1279" t="s">
        <v>280</v>
      </c>
      <c r="D24" s="1279" t="s">
        <v>281</v>
      </c>
      <c r="E24" s="1279"/>
      <c r="F24" s="6607"/>
      <c r="G24" s="6607" t="str">
        <f>F23&amp;".1"</f>
        <v>1.1.1.1.1.1</v>
      </c>
      <c r="I24" s="6762"/>
      <c r="J24" s="6762">
        <v>1</v>
      </c>
      <c r="K24" s="282"/>
      <c r="L24" s="1212" t="str">
        <f>$G$24</f>
        <v>1.1.1.1.1.1</v>
      </c>
      <c r="M24" s="205" t="s">
        <v>527</v>
      </c>
      <c r="N24" s="219"/>
      <c r="O24" s="7018"/>
      <c r="P24" s="7019"/>
      <c r="Q24" s="7019"/>
      <c r="R24" s="7019"/>
      <c r="S24" s="7019"/>
      <c r="T24" s="7019"/>
      <c r="U24" s="7019"/>
      <c r="V24" s="7019"/>
      <c r="W24" s="7020"/>
      <c r="X24" s="1177" t="s">
        <v>528</v>
      </c>
      <c r="Z24" s="426"/>
      <c r="AA24" s="426" t="str">
        <f t="shared" si="0"/>
        <v>Группа потребителей</v>
      </c>
      <c r="AB24" s="426"/>
      <c r="AC24" s="426"/>
    </row>
    <row r="25" spans="1:29" ht="11.25" customHeight="1">
      <c r="A25" s="1279" t="s">
        <v>278</v>
      </c>
      <c r="B25" s="1279" t="s">
        <v>279</v>
      </c>
      <c r="C25" s="1279" t="s">
        <v>280</v>
      </c>
      <c r="D25" s="1279" t="s">
        <v>281</v>
      </c>
      <c r="E25" s="1279"/>
      <c r="F25" s="6607"/>
      <c r="G25" s="6607"/>
      <c r="H25" s="6607" t="str">
        <f>G24&amp;".1"</f>
        <v>1.1.1.1.1.1.1</v>
      </c>
      <c r="I25" s="6762"/>
      <c r="J25" s="6762"/>
      <c r="K25" s="282">
        <v>1</v>
      </c>
      <c r="L25" s="1212" t="str">
        <f>$H$25</f>
        <v>1.1.1.1.1.1.1</v>
      </c>
      <c r="M25" s="1178"/>
      <c r="N25" s="219"/>
      <c r="O25" s="668"/>
      <c r="P25" s="251"/>
      <c r="Q25" s="668"/>
      <c r="R25" s="1176"/>
      <c r="S25" s="6766"/>
      <c r="T25" s="6610" t="s">
        <v>61</v>
      </c>
      <c r="U25" s="6766"/>
      <c r="V25" s="6610" t="s">
        <v>56</v>
      </c>
      <c r="W25" s="251"/>
      <c r="X25" s="6758" t="s">
        <v>530</v>
      </c>
      <c r="Y25" s="437" t="e">
        <f ca="1">STRCHECKDATE(O26:W26)</f>
        <v>#NAME?</v>
      </c>
      <c r="Z25" s="426"/>
      <c r="AA25" s="426" t="str">
        <f t="shared" si="0"/>
        <v/>
      </c>
      <c r="AB25" s="426"/>
      <c r="AC25" s="426"/>
    </row>
    <row r="26" spans="1:29" ht="11.25" customHeight="1">
      <c r="A26" s="1279" t="s">
        <v>278</v>
      </c>
      <c r="B26" s="1279" t="s">
        <v>279</v>
      </c>
      <c r="C26" s="1279" t="s">
        <v>280</v>
      </c>
      <c r="D26" s="1279" t="s">
        <v>281</v>
      </c>
      <c r="E26" s="1279"/>
      <c r="F26" s="6607"/>
      <c r="G26" s="6607"/>
      <c r="H26" s="6607"/>
      <c r="I26" s="6762"/>
      <c r="J26" s="6762"/>
      <c r="K26" s="282"/>
      <c r="L26" s="1213"/>
      <c r="M26" s="219"/>
      <c r="N26" s="219"/>
      <c r="O26" s="251"/>
      <c r="P26" s="251"/>
      <c r="Q26" s="251"/>
      <c r="R26" s="255" t="str">
        <f>S25&amp;"-"&amp;U25</f>
        <v>-</v>
      </c>
      <c r="S26" s="6767"/>
      <c r="T26" s="6610"/>
      <c r="U26" s="6767"/>
      <c r="V26" s="6610"/>
      <c r="W26" s="251"/>
      <c r="X26" s="6759"/>
      <c r="Z26" s="426"/>
      <c r="AA26" s="426" t="str">
        <f t="shared" si="0"/>
        <v/>
      </c>
      <c r="AB26" s="426"/>
      <c r="AC26" s="426"/>
    </row>
    <row r="27" spans="1:29" ht="15" customHeight="1">
      <c r="A27" s="1279" t="s">
        <v>278</v>
      </c>
      <c r="B27" s="1279" t="s">
        <v>279</v>
      </c>
      <c r="C27" s="1279" t="s">
        <v>280</v>
      </c>
      <c r="D27" s="1279" t="s">
        <v>281</v>
      </c>
      <c r="E27" s="1279"/>
      <c r="F27" s="6607"/>
      <c r="G27" s="6607"/>
      <c r="I27" s="6762"/>
      <c r="J27" s="6762"/>
      <c r="K27" s="281"/>
      <c r="L27" s="1198"/>
      <c r="M27" s="207" t="s">
        <v>531</v>
      </c>
      <c r="N27" s="295"/>
      <c r="O27" s="295"/>
      <c r="P27" s="295"/>
      <c r="Q27" s="295"/>
      <c r="R27" s="295"/>
      <c r="S27" s="295"/>
      <c r="T27" s="295"/>
      <c r="U27" s="295"/>
      <c r="V27" s="295"/>
      <c r="W27" s="250"/>
      <c r="X27" s="6760"/>
      <c r="Z27" s="426"/>
      <c r="AA27" s="426" t="str">
        <f t="shared" si="0"/>
        <v>Добавить вид теплоносителя (параметры теплоносителя)</v>
      </c>
      <c r="AB27" s="426"/>
      <c r="AC27" s="426"/>
    </row>
    <row r="28" spans="1:29" ht="15" customHeight="1">
      <c r="A28" s="1279" t="s">
        <v>278</v>
      </c>
      <c r="B28" s="1279" t="s">
        <v>279</v>
      </c>
      <c r="C28" s="1279" t="s">
        <v>280</v>
      </c>
      <c r="D28" s="1279" t="s">
        <v>281</v>
      </c>
      <c r="E28" s="1279"/>
      <c r="F28" s="6607"/>
      <c r="I28" s="6762"/>
      <c r="J28" s="1210"/>
      <c r="K28" s="281"/>
      <c r="L28" s="1198"/>
      <c r="M28" s="206" t="s">
        <v>532</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278</v>
      </c>
      <c r="B29" s="1279" t="s">
        <v>279</v>
      </c>
      <c r="C29" s="1279" t="s">
        <v>280</v>
      </c>
      <c r="D29" s="1279" t="s">
        <v>281</v>
      </c>
      <c r="E29" s="1279"/>
      <c r="F29" s="1281"/>
      <c r="G29" s="1281"/>
      <c r="H29" s="462"/>
      <c r="I29" s="285"/>
      <c r="J29" s="304"/>
      <c r="K29" s="280"/>
      <c r="L29" s="1198"/>
      <c r="M29" s="292" t="s">
        <v>533</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278</v>
      </c>
      <c r="B30" s="1279" t="s">
        <v>279</v>
      </c>
      <c r="C30" s="1279" t="s">
        <v>280</v>
      </c>
      <c r="D30" s="1279"/>
      <c r="E30" s="1279" t="s">
        <v>703</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278</v>
      </c>
      <c r="B31" s="1279" t="s">
        <v>279</v>
      </c>
      <c r="C31" s="1279"/>
      <c r="D31" s="1279"/>
      <c r="E31" s="1279" t="s">
        <v>2256</v>
      </c>
      <c r="F31" s="1426"/>
      <c r="G31" s="1426"/>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2257</v>
      </c>
      <c r="B32" s="1279"/>
      <c r="C32" s="1279"/>
      <c r="D32" s="1279"/>
      <c r="E32" s="1279" t="s">
        <v>173</v>
      </c>
      <c r="F32" s="1426"/>
      <c r="G32" s="1426"/>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6550" customFormat="1" ht="11.25" customHeight="1">
      <c r="A33" s="1279"/>
      <c r="B33" s="1279"/>
      <c r="C33" s="1279"/>
      <c r="D33" s="1279"/>
      <c r="E33" s="1279" t="s">
        <v>273</v>
      </c>
      <c r="F33" s="1427"/>
      <c r="G33" s="1428"/>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835</v>
      </c>
      <c r="M35" s="6783" t="s">
        <v>2258</v>
      </c>
      <c r="N35" s="6783"/>
      <c r="O35" s="6783"/>
      <c r="P35" s="6783"/>
      <c r="Q35" s="6783"/>
      <c r="R35" s="6783"/>
      <c r="S35" s="6783"/>
      <c r="T35" s="6783"/>
      <c r="U35" s="6783"/>
      <c r="V35" s="6783"/>
      <c r="W35" s="6783"/>
      <c r="X35" s="6783"/>
    </row>
    <row r="36" spans="1:29" ht="104.25" customHeight="1">
      <c r="H36" s="462"/>
      <c r="I36" s="1222"/>
      <c r="M36" s="6783" t="s">
        <v>2259</v>
      </c>
      <c r="N36" s="6783"/>
      <c r="O36" s="6783"/>
      <c r="P36" s="6783"/>
      <c r="Q36" s="6783"/>
      <c r="R36" s="6783"/>
      <c r="S36" s="6783"/>
      <c r="T36" s="6783"/>
      <c r="U36" s="6783"/>
      <c r="V36" s="6783"/>
      <c r="W36" s="6783"/>
      <c r="X36" s="6783"/>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2042" customWidth="1"/>
    <col min="2" max="2" width="10.7109375" style="2042" customWidth="1"/>
    <col min="3" max="3" width="10" style="2042" customWidth="1"/>
    <col min="4" max="4" width="12.85546875" style="2042" customWidth="1"/>
    <col min="5" max="5" width="12.28515625" style="2042" customWidth="1"/>
    <col min="6" max="8" width="12.28515625" style="6571" customWidth="1"/>
    <col min="9" max="9" width="3.7109375" style="6571" customWidth="1"/>
    <col min="10" max="11" width="3.7109375" style="2075" customWidth="1"/>
    <col min="12" max="12" width="12.7109375" style="2076" customWidth="1"/>
    <col min="13" max="13" width="32" style="2042" customWidth="1"/>
    <col min="14" max="14" width="1.7109375" style="2042" customWidth="1"/>
    <col min="15" max="18" width="24.7109375" style="2042" customWidth="1"/>
    <col min="19" max="19" width="11.7109375" style="2042" customWidth="1"/>
    <col min="20" max="20" width="3.7109375" style="2042" customWidth="1"/>
    <col min="21" max="21" width="11.7109375" style="2042" customWidth="1"/>
    <col min="22" max="22" width="8.5703125" style="2042" customWidth="1"/>
    <col min="23" max="23" width="4.7109375" style="2042" customWidth="1"/>
    <col min="24" max="24" width="115.7109375" style="2042"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7013" t="s">
        <v>2254</v>
      </c>
      <c r="M5" s="7013"/>
      <c r="N5" s="7013"/>
      <c r="O5" s="7013"/>
      <c r="P5" s="7013"/>
      <c r="Q5" s="7013"/>
      <c r="R5" s="7013"/>
      <c r="S5" s="7013"/>
      <c r="T5" s="7013"/>
      <c r="U5" s="7013"/>
      <c r="V5" s="1152"/>
    </row>
    <row r="6" spans="6:29" ht="14.25" customHeight="1">
      <c r="J6" s="305"/>
      <c r="K6" s="305"/>
      <c r="L6" s="7014" t="str">
        <f>IF(org=0,"Не определено",org)</f>
        <v>ООО "Марикоммунэнерго"</v>
      </c>
      <c r="M6" s="7014"/>
      <c r="N6" s="7014"/>
      <c r="O6" s="7014"/>
      <c r="P6" s="7014"/>
      <c r="Q6" s="7014"/>
      <c r="R6" s="7014"/>
      <c r="S6" s="7014"/>
      <c r="T6" s="7014"/>
      <c r="U6" s="7014"/>
      <c r="V6" s="1152"/>
    </row>
    <row r="7" spans="6:29" ht="14.25" customHeight="1">
      <c r="J7" s="305"/>
      <c r="K7" s="305"/>
      <c r="L7" s="1195"/>
      <c r="M7" s="290"/>
      <c r="N7" s="290"/>
      <c r="O7" s="247"/>
      <c r="P7" s="247"/>
      <c r="Q7" s="247"/>
      <c r="R7" s="247"/>
      <c r="S7" s="247"/>
      <c r="T7" s="247"/>
      <c r="U7" s="247"/>
      <c r="V7" s="247"/>
      <c r="W7" s="435"/>
    </row>
    <row r="8" spans="6:29" s="2072" customFormat="1" ht="45" customHeight="1">
      <c r="F8" s="1158"/>
      <c r="G8" s="1158"/>
      <c r="H8" s="1158"/>
      <c r="L8" s="1196"/>
      <c r="M8" s="214" t="s">
        <v>38</v>
      </c>
      <c r="N8" s="223"/>
      <c r="O8" s="6756" t="str">
        <f>IF(TITLE_NAME_OR_PR_CHANGE="",IF(TITLE_NAME_OR_PR="","",TITLE_NAME_OR_PR),TITLE_NAME_OR_PR_CHANGE)</f>
        <v>Министерство промышленности, экономического развития и торговли Республики Марий Эл</v>
      </c>
      <c r="P8" s="6756"/>
      <c r="Q8" s="6756"/>
      <c r="R8" s="6756"/>
      <c r="S8" s="6756"/>
      <c r="T8" s="6756"/>
      <c r="U8" s="6756"/>
      <c r="V8" s="253"/>
      <c r="W8" s="253"/>
      <c r="X8" s="200"/>
      <c r="Y8" s="296"/>
      <c r="Z8" s="296"/>
      <c r="AA8" s="296"/>
      <c r="AB8" s="296"/>
      <c r="AC8" s="296"/>
    </row>
    <row r="9" spans="6:29" s="2072" customFormat="1" ht="22.5" customHeight="1">
      <c r="F9" s="1158"/>
      <c r="G9" s="1158"/>
      <c r="H9" s="1158"/>
      <c r="L9" s="1196"/>
      <c r="M9" s="214" t="s">
        <v>540</v>
      </c>
      <c r="N9" s="223"/>
      <c r="O9" s="6756">
        <f>IF(TITLE_DATE_CHANGE_PERIOD="",IF(TITLE_DATE_PR="","",TITLE_DATE_PR),TITLE_DATE_CHANGE_PERIOD)</f>
        <v>45280.426180555558</v>
      </c>
      <c r="P9" s="6756"/>
      <c r="Q9" s="6756"/>
      <c r="R9" s="6756"/>
      <c r="S9" s="6756"/>
      <c r="T9" s="6756"/>
      <c r="U9" s="6756"/>
      <c r="V9" s="253"/>
      <c r="W9" s="253"/>
      <c r="X9" s="200"/>
      <c r="Y9" s="296"/>
      <c r="Z9" s="296"/>
      <c r="AA9" s="296"/>
      <c r="AB9" s="296"/>
      <c r="AC9" s="296"/>
    </row>
    <row r="10" spans="6:29" s="2072" customFormat="1" ht="22.5" customHeight="1">
      <c r="F10" s="1158"/>
      <c r="G10" s="1158"/>
      <c r="H10" s="1158"/>
      <c r="L10" s="1160"/>
      <c r="M10" s="214" t="s">
        <v>541</v>
      </c>
      <c r="N10" s="223"/>
      <c r="O10" s="6756" t="str">
        <f>IF(TITLE_NUMBER_PR_CHANGE="",IF(TITLE_NUMBER_PR="","",TITLE_NUMBER_PR),TITLE_NUMBER_PR_CHANGE)</f>
        <v>124 т, 125 т, 126 т, 169 т</v>
      </c>
      <c r="P10" s="6756"/>
      <c r="Q10" s="6756"/>
      <c r="R10" s="6756"/>
      <c r="S10" s="6756"/>
      <c r="T10" s="6756"/>
      <c r="U10" s="6756"/>
      <c r="V10" s="253"/>
      <c r="W10" s="253"/>
      <c r="X10" s="200"/>
      <c r="Y10" s="296"/>
      <c r="Z10" s="296"/>
      <c r="AA10" s="296"/>
      <c r="AB10" s="296"/>
      <c r="AC10" s="296"/>
    </row>
    <row r="11" spans="6:29" s="2072" customFormat="1" ht="22.5" customHeight="1">
      <c r="F11" s="1158"/>
      <c r="G11" s="1158"/>
      <c r="H11" s="1158"/>
      <c r="L11" s="1160"/>
      <c r="M11" s="214" t="s">
        <v>40</v>
      </c>
      <c r="N11" s="223"/>
      <c r="O11" s="6756" t="str">
        <f>IF(TITLE_IST_PUB_CHANGE="",IF(TITLE_IST_PUB="","",TITLE_IST_PUB),TITLE_IST_PUB_CHANGE)</f>
        <v>портал Официальное опубликование нормативных правовых актов  Республики Марий Эл</v>
      </c>
      <c r="P11" s="6756"/>
      <c r="Q11" s="6756"/>
      <c r="R11" s="6756"/>
      <c r="S11" s="6756"/>
      <c r="T11" s="6756"/>
      <c r="U11" s="6756"/>
      <c r="V11" s="253"/>
      <c r="W11" s="253"/>
      <c r="X11" s="200"/>
      <c r="Y11" s="296"/>
      <c r="Z11" s="296"/>
      <c r="AA11" s="296"/>
      <c r="AB11" s="296"/>
      <c r="AC11" s="296"/>
    </row>
    <row r="12" spans="6:29" s="2072" customFormat="1" ht="11.25" hidden="1" customHeight="1">
      <c r="F12" s="1158"/>
      <c r="G12" s="1158"/>
      <c r="H12" s="1158"/>
      <c r="L12" s="7015"/>
      <c r="M12" s="7015"/>
      <c r="N12" s="1206"/>
      <c r="O12" s="253"/>
      <c r="P12" s="253"/>
      <c r="Q12" s="253"/>
      <c r="R12" s="253"/>
      <c r="S12" s="253"/>
      <c r="T12" s="253"/>
      <c r="U12" s="253"/>
      <c r="V12" s="198" t="s">
        <v>544</v>
      </c>
      <c r="Y12" s="296"/>
      <c r="Z12" s="296"/>
      <c r="AA12" s="296"/>
      <c r="AB12" s="296"/>
      <c r="AC12" s="296"/>
    </row>
    <row r="13" spans="6:29" ht="14.25" customHeight="1">
      <c r="J13" s="305"/>
      <c r="K13" s="305"/>
      <c r="L13" s="1195"/>
      <c r="M13" s="290"/>
      <c r="N13" s="1153"/>
      <c r="O13" s="6757"/>
      <c r="P13" s="6757"/>
      <c r="Q13" s="6757"/>
      <c r="R13" s="6757"/>
      <c r="S13" s="6757"/>
      <c r="T13" s="6757"/>
      <c r="U13" s="6757"/>
      <c r="V13" s="6757"/>
    </row>
    <row r="14" spans="6:29" ht="14.25" customHeight="1">
      <c r="J14" s="305"/>
      <c r="K14" s="305"/>
      <c r="L14" s="6629" t="s">
        <v>418</v>
      </c>
      <c r="M14" s="6629"/>
      <c r="N14" s="6629"/>
      <c r="O14" s="6629"/>
      <c r="P14" s="6629"/>
      <c r="Q14" s="6629"/>
      <c r="R14" s="6629"/>
      <c r="S14" s="6629"/>
      <c r="T14" s="6629"/>
      <c r="U14" s="6629"/>
      <c r="V14" s="6629"/>
      <c r="W14" s="6629"/>
      <c r="X14" s="6629" t="s">
        <v>419</v>
      </c>
    </row>
    <row r="15" spans="6:29" ht="14.25" customHeight="1">
      <c r="J15" s="305"/>
      <c r="K15" s="305"/>
      <c r="L15" s="6771" t="s">
        <v>87</v>
      </c>
      <c r="M15" s="6723" t="s">
        <v>545</v>
      </c>
      <c r="N15" s="220"/>
      <c r="O15" s="6772" t="s">
        <v>2255</v>
      </c>
      <c r="P15" s="6773"/>
      <c r="Q15" s="6773"/>
      <c r="R15" s="6773"/>
      <c r="S15" s="6773"/>
      <c r="T15" s="6773"/>
      <c r="U15" s="6774"/>
      <c r="V15" s="6775" t="s">
        <v>547</v>
      </c>
      <c r="W15" s="6778" t="s">
        <v>1183</v>
      </c>
      <c r="X15" s="6629"/>
    </row>
    <row r="16" spans="6:29" ht="33.75" customHeight="1">
      <c r="J16" s="305"/>
      <c r="K16" s="305"/>
      <c r="L16" s="6771"/>
      <c r="M16" s="6723"/>
      <c r="N16" s="938"/>
      <c r="O16" s="6693" t="s">
        <v>550</v>
      </c>
      <c r="P16" s="6693" t="s">
        <v>551</v>
      </c>
      <c r="Q16" s="6600" t="s">
        <v>552</v>
      </c>
      <c r="R16" s="6599"/>
      <c r="S16" s="6600" t="s">
        <v>565</v>
      </c>
      <c r="T16" s="6605"/>
      <c r="U16" s="6599"/>
      <c r="V16" s="6776"/>
      <c r="W16" s="6779"/>
      <c r="X16" s="6629"/>
    </row>
    <row r="17" spans="1:29" ht="33.75" customHeight="1">
      <c r="A17" s="1179" t="s">
        <v>200</v>
      </c>
      <c r="B17" s="1179" t="s">
        <v>201</v>
      </c>
      <c r="C17" s="1179" t="s">
        <v>202</v>
      </c>
      <c r="D17" s="1179" t="s">
        <v>203</v>
      </c>
      <c r="E17" s="1179"/>
      <c r="J17" s="305"/>
      <c r="K17" s="305"/>
      <c r="L17" s="6771"/>
      <c r="M17" s="6723"/>
      <c r="N17" s="221"/>
      <c r="O17" s="6742"/>
      <c r="P17" s="6742"/>
      <c r="Q17" s="1128" t="s">
        <v>561</v>
      </c>
      <c r="R17" s="1128" t="s">
        <v>562</v>
      </c>
      <c r="S17" s="1211" t="s">
        <v>563</v>
      </c>
      <c r="T17" s="6731" t="s">
        <v>564</v>
      </c>
      <c r="U17" s="6733"/>
      <c r="V17" s="6777"/>
      <c r="W17" s="6780"/>
      <c r="X17" s="6629"/>
    </row>
    <row r="18" spans="1:29" s="1816" customFormat="1" ht="11.25" customHeight="1">
      <c r="A18" s="1179"/>
      <c r="B18" s="1179"/>
      <c r="C18" s="1179"/>
      <c r="D18" s="1179"/>
      <c r="E18" s="1179"/>
      <c r="F18" s="1205"/>
      <c r="G18" s="1205"/>
      <c r="H18" s="1205"/>
      <c r="I18" s="1155"/>
      <c r="J18" s="1156"/>
      <c r="K18" s="1171">
        <v>1</v>
      </c>
      <c r="L18" s="1197" t="s">
        <v>178</v>
      </c>
      <c r="M18" s="1172" t="s">
        <v>98</v>
      </c>
      <c r="N18" s="1154" t="str">
        <f ca="1">OFFSET(N18,0,-1)</f>
        <v>2</v>
      </c>
      <c r="O18" s="1208">
        <f ca="1">OFFSET(O18,0,-1)+1</f>
        <v>3</v>
      </c>
      <c r="P18" s="1208"/>
      <c r="Q18" s="1208">
        <f ca="1">OFFSET(Q18,0,-1)+1</f>
        <v>1</v>
      </c>
      <c r="R18" s="1208">
        <f ca="1">OFFSET(R18,0,-1)+1</f>
        <v>2</v>
      </c>
      <c r="S18" s="1208">
        <f ca="1">OFFSET(S18,0,-1)+1</f>
        <v>3</v>
      </c>
      <c r="T18" s="6770">
        <f ca="1">OFFSET(T18,0,-1)+1</f>
        <v>4</v>
      </c>
      <c r="U18" s="6770"/>
      <c r="V18" s="1208">
        <f ca="1">OFFSET(V18,0,-2)+1</f>
        <v>5</v>
      </c>
      <c r="W18" s="1154">
        <f ca="1">OFFSET(W18,0,-1)</f>
        <v>5</v>
      </c>
      <c r="X18" s="1208">
        <f ca="1">OFFSET(X18,0,-1)+1</f>
        <v>6</v>
      </c>
      <c r="Y18" s="437"/>
      <c r="Z18" s="437"/>
      <c r="AA18" s="437"/>
      <c r="AB18" s="437"/>
      <c r="AC18" s="437"/>
    </row>
    <row r="19" spans="1:29" ht="21" customHeight="1">
      <c r="A19" s="1186" t="s">
        <v>2260</v>
      </c>
      <c r="B19" s="1186" t="s">
        <v>2261</v>
      </c>
      <c r="C19" s="1186" t="s">
        <v>2262</v>
      </c>
      <c r="D19" s="1186" t="s">
        <v>2263</v>
      </c>
      <c r="E19" s="1186"/>
      <c r="F19" s="608"/>
      <c r="G19" s="608"/>
      <c r="H19" s="608"/>
      <c r="I19" s="286"/>
      <c r="J19" s="285"/>
      <c r="K19" s="280"/>
      <c r="L19" s="1212" t="e">
        <f>INDEX(PT_DIFFERENTIATION_NUM_NTAR,MATCH(A19,PT_DIFFERENTIATION_NTAR_ID,0))</f>
        <v>#N/A</v>
      </c>
      <c r="M19" s="217" t="s">
        <v>189</v>
      </c>
      <c r="N19" s="219"/>
      <c r="O19" s="7016" t="e">
        <f>INDEX(PT_DIFFERENTIATION_NTAR,MATCH(A19,PT_DIFFERENTIATION_NTAR_ID,0))</f>
        <v>#N/A</v>
      </c>
      <c r="P19" s="7016"/>
      <c r="Q19" s="7016"/>
      <c r="R19" s="7016"/>
      <c r="S19" s="7016"/>
      <c r="T19" s="7016"/>
      <c r="U19" s="7016"/>
      <c r="V19" s="7016"/>
      <c r="W19" s="7016"/>
      <c r="X19" s="1177" t="s">
        <v>516</v>
      </c>
      <c r="Z19" s="426"/>
      <c r="AA19" s="426" t="str">
        <f t="shared" ref="AA19:AA32" si="0">IF(M19="","",M19)</f>
        <v>Наименование тарифа</v>
      </c>
      <c r="AB19" s="426"/>
      <c r="AC19" s="426"/>
    </row>
    <row r="20" spans="1:29" ht="21" customHeight="1">
      <c r="A20" s="1186" t="s">
        <v>2260</v>
      </c>
      <c r="B20" s="1186" t="s">
        <v>2261</v>
      </c>
      <c r="C20" s="1186" t="s">
        <v>2262</v>
      </c>
      <c r="D20" s="1186" t="s">
        <v>2263</v>
      </c>
      <c r="E20" s="1186"/>
      <c r="F20" s="608"/>
      <c r="G20" s="608"/>
      <c r="H20" s="608"/>
      <c r="I20" s="1209"/>
      <c r="J20" s="277"/>
      <c r="K20" s="278"/>
      <c r="L20" s="1212" t="e">
        <f>INDEX(PT_DIFFERENTIATION_NUM_TER,MATCH(B19,PT_DIFFERENTIATION_TER_ID,0))</f>
        <v>#N/A</v>
      </c>
      <c r="M20" s="229" t="s">
        <v>517</v>
      </c>
      <c r="N20" s="219"/>
      <c r="O20" s="7016" t="e">
        <f>INDEX(PT_DIFFERENTIATION_TER,MATCH(B19,PT_DIFFERENTIATION_TER_ID,0))</f>
        <v>#N/A</v>
      </c>
      <c r="P20" s="7016"/>
      <c r="Q20" s="7016"/>
      <c r="R20" s="7016"/>
      <c r="S20" s="7016"/>
      <c r="T20" s="7016"/>
      <c r="U20" s="7016"/>
      <c r="V20" s="7016"/>
      <c r="W20" s="7016"/>
      <c r="X20" s="1177" t="s">
        <v>518</v>
      </c>
      <c r="Z20" s="426"/>
      <c r="AA20" s="426" t="str">
        <f t="shared" si="0"/>
        <v>Территория действия тарифа</v>
      </c>
      <c r="AB20" s="426"/>
      <c r="AC20" s="426"/>
    </row>
    <row r="21" spans="1:29" ht="22.5" customHeight="1">
      <c r="A21" s="1186" t="s">
        <v>2260</v>
      </c>
      <c r="B21" s="1186" t="s">
        <v>2261</v>
      </c>
      <c r="C21" s="1186" t="s">
        <v>2262</v>
      </c>
      <c r="D21" s="1186" t="s">
        <v>2263</v>
      </c>
      <c r="E21" s="1186"/>
      <c r="F21" s="608"/>
      <c r="G21" s="608"/>
      <c r="H21" s="608"/>
      <c r="I21" s="279"/>
      <c r="J21" s="277"/>
      <c r="K21" s="278"/>
      <c r="L21" s="1212" t="e">
        <f>INDEX(PT_DIFFERENTIATION_NUM_CS,MATCH(C19,PT_DIFFERENTIATION_CS_ID,0))</f>
        <v>#N/A</v>
      </c>
      <c r="M21" s="230" t="s">
        <v>519</v>
      </c>
      <c r="N21" s="219"/>
      <c r="O21" s="7016" t="e">
        <f>INDEX(PT_DIFFERENTIATION_CS,MATCH(C19,PT_DIFFERENTIATION_CS_ID,0))</f>
        <v>#N/A</v>
      </c>
      <c r="P21" s="7016"/>
      <c r="Q21" s="7016"/>
      <c r="R21" s="7016"/>
      <c r="S21" s="7016"/>
      <c r="T21" s="7016"/>
      <c r="U21" s="7016"/>
      <c r="V21" s="7016"/>
      <c r="W21" s="7016"/>
      <c r="X21" s="1177" t="s">
        <v>520</v>
      </c>
      <c r="Z21" s="426"/>
      <c r="AA21" s="426" t="str">
        <f t="shared" si="0"/>
        <v xml:space="preserve">Наименование системы теплоснабжения </v>
      </c>
      <c r="AB21" s="426"/>
      <c r="AC21" s="426"/>
    </row>
    <row r="22" spans="1:29" ht="21" customHeight="1">
      <c r="A22" s="1186" t="s">
        <v>2260</v>
      </c>
      <c r="B22" s="1186" t="s">
        <v>2261</v>
      </c>
      <c r="C22" s="1186" t="s">
        <v>2262</v>
      </c>
      <c r="D22" s="1186" t="s">
        <v>2263</v>
      </c>
      <c r="E22" s="1186"/>
      <c r="F22" s="608"/>
      <c r="G22" s="608"/>
      <c r="H22" s="608"/>
      <c r="I22" s="279"/>
      <c r="J22" s="277"/>
      <c r="K22" s="278"/>
      <c r="L22" s="1212" t="e">
        <f>INDEX(PT_DIFFERENTIATION_NUM_IST_TE,MATCH(D19,PT_DIFFERENTIATION_IST_TE_ID,0))</f>
        <v>#N/A</v>
      </c>
      <c r="M22" s="231" t="s">
        <v>521</v>
      </c>
      <c r="N22" s="219"/>
      <c r="O22" s="7016" t="e">
        <f>INDEX(PT_DIFFERENTIATION_IST_TE,MATCH(D19,PT_DIFFERENTIATION_IST_TE_ID,0))</f>
        <v>#N/A</v>
      </c>
      <c r="P22" s="7016"/>
      <c r="Q22" s="7016"/>
      <c r="R22" s="7016"/>
      <c r="S22" s="7016"/>
      <c r="T22" s="7016"/>
      <c r="U22" s="7016"/>
      <c r="V22" s="7016"/>
      <c r="W22" s="7016"/>
      <c r="X22" s="1177" t="s">
        <v>522</v>
      </c>
      <c r="Z22" s="426"/>
      <c r="AA22" s="426" t="str">
        <f t="shared" si="0"/>
        <v xml:space="preserve">Источник тепловой энергии  </v>
      </c>
      <c r="AB22" s="426"/>
      <c r="AC22" s="426"/>
    </row>
    <row r="23" spans="1:29" ht="94.5" customHeight="1">
      <c r="A23" s="1186" t="s">
        <v>2260</v>
      </c>
      <c r="B23" s="1186" t="s">
        <v>2261</v>
      </c>
      <c r="C23" s="1186" t="s">
        <v>2262</v>
      </c>
      <c r="D23" s="1186" t="s">
        <v>2263</v>
      </c>
      <c r="E23" s="1186"/>
      <c r="F23" s="6603" t="e">
        <f>L22&amp;".1"</f>
        <v>#N/A</v>
      </c>
      <c r="I23" s="6762">
        <v>1</v>
      </c>
      <c r="J23" s="1210"/>
      <c r="K23" s="281"/>
      <c r="L23" s="1212" t="e">
        <f>$F$23</f>
        <v>#N/A</v>
      </c>
      <c r="M23" s="204" t="s">
        <v>524</v>
      </c>
      <c r="N23" s="219"/>
      <c r="O23" s="7017"/>
      <c r="P23" s="7017"/>
      <c r="Q23" s="7017"/>
      <c r="R23" s="7017"/>
      <c r="S23" s="7017"/>
      <c r="T23" s="7017"/>
      <c r="U23" s="7017"/>
      <c r="V23" s="7017"/>
      <c r="W23" s="7017"/>
      <c r="X23" s="1177" t="s">
        <v>525</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2260</v>
      </c>
      <c r="B24" s="1186" t="s">
        <v>2261</v>
      </c>
      <c r="C24" s="1186" t="s">
        <v>2262</v>
      </c>
      <c r="D24" s="1186" t="s">
        <v>2263</v>
      </c>
      <c r="E24" s="1186"/>
      <c r="F24" s="6603"/>
      <c r="G24" s="6603" t="e">
        <f>F23&amp;".1"</f>
        <v>#N/A</v>
      </c>
      <c r="I24" s="6762"/>
      <c r="J24" s="6762">
        <v>1</v>
      </c>
      <c r="K24" s="282"/>
      <c r="L24" s="1212" t="e">
        <f>$G$24</f>
        <v>#N/A</v>
      </c>
      <c r="M24" s="205" t="s">
        <v>527</v>
      </c>
      <c r="N24" s="219"/>
      <c r="O24" s="7018"/>
      <c r="P24" s="7019"/>
      <c r="Q24" s="7019"/>
      <c r="R24" s="7019"/>
      <c r="S24" s="7019"/>
      <c r="T24" s="7019"/>
      <c r="U24" s="7019"/>
      <c r="V24" s="7019"/>
      <c r="W24" s="7020"/>
      <c r="X24" s="1177" t="s">
        <v>528</v>
      </c>
      <c r="Z24" s="426"/>
      <c r="AA24" s="426" t="str">
        <f t="shared" si="0"/>
        <v>Группа потребителей</v>
      </c>
      <c r="AB24" s="426"/>
      <c r="AC24" s="426"/>
    </row>
    <row r="25" spans="1:29" ht="11.25" customHeight="1">
      <c r="A25" s="1186" t="s">
        <v>2260</v>
      </c>
      <c r="B25" s="1186" t="s">
        <v>2261</v>
      </c>
      <c r="C25" s="1186" t="s">
        <v>2262</v>
      </c>
      <c r="D25" s="1186" t="s">
        <v>2263</v>
      </c>
      <c r="E25" s="1186"/>
      <c r="F25" s="6603"/>
      <c r="G25" s="6603"/>
      <c r="H25" s="6603" t="e">
        <f>G24&amp;".1"</f>
        <v>#N/A</v>
      </c>
      <c r="I25" s="6762"/>
      <c r="J25" s="6762"/>
      <c r="K25" s="282">
        <v>1</v>
      </c>
      <c r="L25" s="1212" t="e">
        <f>$H$25</f>
        <v>#N/A</v>
      </c>
      <c r="M25" s="1178"/>
      <c r="N25" s="219"/>
      <c r="O25" s="668"/>
      <c r="P25" s="251"/>
      <c r="Q25" s="668"/>
      <c r="R25" s="1176"/>
      <c r="S25" s="6766"/>
      <c r="T25" s="6610" t="s">
        <v>61</v>
      </c>
      <c r="U25" s="6766"/>
      <c r="V25" s="6610" t="s">
        <v>56</v>
      </c>
      <c r="W25" s="251"/>
      <c r="X25" s="6758" t="s">
        <v>530</v>
      </c>
      <c r="Y25" s="437" t="e">
        <f ca="1">STRCHECKDATE(O26:W26)</f>
        <v>#NAME?</v>
      </c>
      <c r="Z25" s="426"/>
      <c r="AA25" s="426" t="str">
        <f t="shared" si="0"/>
        <v/>
      </c>
      <c r="AB25" s="426"/>
      <c r="AC25" s="426"/>
    </row>
    <row r="26" spans="1:29" ht="11.25" customHeight="1">
      <c r="A26" s="1186" t="s">
        <v>2260</v>
      </c>
      <c r="B26" s="1186" t="s">
        <v>2261</v>
      </c>
      <c r="C26" s="1186" t="s">
        <v>2262</v>
      </c>
      <c r="D26" s="1186" t="s">
        <v>2263</v>
      </c>
      <c r="E26" s="1186"/>
      <c r="F26" s="6603"/>
      <c r="G26" s="6603"/>
      <c r="H26" s="6603"/>
      <c r="I26" s="6762"/>
      <c r="J26" s="6762"/>
      <c r="K26" s="282"/>
      <c r="L26" s="1213"/>
      <c r="M26" s="219"/>
      <c r="N26" s="219"/>
      <c r="O26" s="251"/>
      <c r="P26" s="251"/>
      <c r="Q26" s="251"/>
      <c r="R26" s="255" t="str">
        <f>S25&amp;"-"&amp;U25</f>
        <v>-</v>
      </c>
      <c r="S26" s="6767"/>
      <c r="T26" s="6610"/>
      <c r="U26" s="6767"/>
      <c r="V26" s="6610"/>
      <c r="W26" s="251"/>
      <c r="X26" s="6759"/>
      <c r="Z26" s="426"/>
      <c r="AA26" s="426" t="str">
        <f t="shared" si="0"/>
        <v/>
      </c>
      <c r="AB26" s="426"/>
      <c r="AC26" s="426"/>
    </row>
    <row r="27" spans="1:29" ht="15" customHeight="1">
      <c r="A27" s="1186" t="s">
        <v>2260</v>
      </c>
      <c r="B27" s="1186" t="s">
        <v>2261</v>
      </c>
      <c r="C27" s="1186" t="s">
        <v>2262</v>
      </c>
      <c r="D27" s="1186" t="s">
        <v>2263</v>
      </c>
      <c r="E27" s="1186"/>
      <c r="F27" s="6603"/>
      <c r="G27" s="6603"/>
      <c r="I27" s="6762"/>
      <c r="J27" s="6762"/>
      <c r="K27" s="281"/>
      <c r="L27" s="1198"/>
      <c r="M27" s="207" t="s">
        <v>531</v>
      </c>
      <c r="N27" s="295"/>
      <c r="O27" s="295"/>
      <c r="P27" s="295"/>
      <c r="Q27" s="295"/>
      <c r="R27" s="295"/>
      <c r="S27" s="295"/>
      <c r="T27" s="295"/>
      <c r="U27" s="295"/>
      <c r="V27" s="295"/>
      <c r="W27" s="250"/>
      <c r="X27" s="6760"/>
      <c r="Z27" s="426"/>
      <c r="AA27" s="426" t="str">
        <f t="shared" si="0"/>
        <v>Добавить вид теплоносителя (параметры теплоносителя)</v>
      </c>
      <c r="AB27" s="426"/>
      <c r="AC27" s="426"/>
    </row>
    <row r="28" spans="1:29" ht="15" customHeight="1">
      <c r="A28" s="1186" t="s">
        <v>2260</v>
      </c>
      <c r="B28" s="1186" t="s">
        <v>2261</v>
      </c>
      <c r="C28" s="1186" t="s">
        <v>2262</v>
      </c>
      <c r="D28" s="1186" t="s">
        <v>2263</v>
      </c>
      <c r="E28" s="1186"/>
      <c r="F28" s="6603"/>
      <c r="I28" s="6762"/>
      <c r="J28" s="1210"/>
      <c r="K28" s="281"/>
      <c r="L28" s="1198"/>
      <c r="M28" s="206" t="s">
        <v>532</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2260</v>
      </c>
      <c r="B29" s="1186" t="s">
        <v>2261</v>
      </c>
      <c r="C29" s="1186" t="s">
        <v>2262</v>
      </c>
      <c r="D29" s="1186" t="s">
        <v>2263</v>
      </c>
      <c r="E29" s="1186"/>
      <c r="F29" s="608"/>
      <c r="G29" s="608"/>
      <c r="H29" s="435"/>
      <c r="I29" s="285"/>
      <c r="J29" s="304"/>
      <c r="K29" s="280"/>
      <c r="L29" s="1198"/>
      <c r="M29" s="292" t="s">
        <v>533</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2260</v>
      </c>
      <c r="B30" s="1186" t="s">
        <v>2261</v>
      </c>
      <c r="C30" s="1186" t="s">
        <v>2262</v>
      </c>
      <c r="D30" s="1186"/>
      <c r="E30" s="1186" t="s">
        <v>703</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2260</v>
      </c>
      <c r="B31" s="1186" t="s">
        <v>2261</v>
      </c>
      <c r="C31" s="1186"/>
      <c r="D31" s="1186"/>
      <c r="E31" s="1186" t="s">
        <v>2256</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2264</v>
      </c>
      <c r="B32" s="1186"/>
      <c r="C32" s="1186"/>
      <c r="D32" s="1186"/>
      <c r="E32" s="1186" t="s">
        <v>173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6550" customFormat="1" ht="11.25" customHeight="1">
      <c r="A33" s="1186"/>
      <c r="B33" s="1186"/>
      <c r="C33" s="1186"/>
      <c r="D33" s="1186"/>
      <c r="E33" s="1186" t="s">
        <v>273</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835</v>
      </c>
      <c r="M35" s="6783" t="s">
        <v>2258</v>
      </c>
      <c r="N35" s="6783"/>
      <c r="O35" s="6783"/>
      <c r="P35" s="6783"/>
      <c r="Q35" s="6783"/>
      <c r="R35" s="6783"/>
      <c r="S35" s="6783"/>
      <c r="T35" s="6783"/>
      <c r="U35" s="6783"/>
      <c r="V35" s="6783"/>
      <c r="W35" s="6783"/>
      <c r="X35" s="6783"/>
    </row>
    <row r="36" spans="1:29" ht="104.25" customHeight="1">
      <c r="F36" s="1222"/>
      <c r="G36" s="1222"/>
      <c r="H36" s="435"/>
      <c r="I36" s="1222"/>
      <c r="M36" s="6783" t="s">
        <v>2259</v>
      </c>
      <c r="N36" s="6783"/>
      <c r="O36" s="6783"/>
      <c r="P36" s="6783"/>
      <c r="Q36" s="6783"/>
      <c r="R36" s="6783"/>
      <c r="S36" s="6783"/>
      <c r="T36" s="6783"/>
      <c r="U36" s="6783"/>
      <c r="V36" s="6783"/>
      <c r="W36" s="6783"/>
      <c r="X36" s="6783"/>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2" hidden="1"/>
    <col min="3" max="4" width="3.7109375" style="1842" customWidth="1"/>
    <col min="5" max="6" width="16" style="1842" customWidth="1"/>
    <col min="7" max="7" width="11.5703125" style="1842" customWidth="1"/>
    <col min="8" max="9" width="3.7109375" style="1842" customWidth="1"/>
    <col min="10" max="10" width="13.140625" style="1842" customWidth="1"/>
    <col min="11" max="11" width="0.28515625" style="1842" customWidth="1"/>
    <col min="12" max="13" width="10.7109375" style="1842" customWidth="1"/>
    <col min="14" max="15" width="3.7109375" style="1842" customWidth="1"/>
    <col min="16" max="16" width="19.7109375" style="1842" customWidth="1"/>
    <col min="17" max="17" width="0.28515625" style="1842" customWidth="1"/>
    <col min="18" max="19" width="10.7109375" style="1842" customWidth="1"/>
    <col min="20" max="21" width="3.7109375" style="1842" customWidth="1"/>
    <col min="22" max="22" width="25.7109375" style="1842" customWidth="1"/>
    <col min="23" max="23" width="0.28515625" style="1842" customWidth="1"/>
    <col min="24" max="25" width="10.7109375" style="1842" customWidth="1"/>
    <col min="26" max="27" width="3.7109375" style="1842" customWidth="1"/>
    <col min="28" max="28" width="16.42578125" style="1842" customWidth="1"/>
    <col min="29" max="29" width="0.28515625" style="1842" customWidth="1"/>
    <col min="30" max="31" width="10.7109375" style="1842" customWidth="1"/>
    <col min="32" max="33" width="3.7109375" style="1842" customWidth="1"/>
    <col min="34" max="34" width="8.7109375" style="1842" customWidth="1"/>
    <col min="35" max="35" width="21.7109375" style="1842" customWidth="1"/>
    <col min="36" max="36" width="9.140625" style="1828"/>
    <col min="37" max="37" width="9.140625" style="2040"/>
    <col min="38" max="64" width="9.140625" style="1828"/>
  </cols>
  <sheetData>
    <row r="1" spans="1:64" s="1829"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2038" customFormat="1" ht="11.25" hidden="1" customHeight="1">
      <c r="L2" s="1470" t="s">
        <v>397</v>
      </c>
      <c r="M2" s="1470" t="s">
        <v>398</v>
      </c>
      <c r="R2" s="1470" t="s">
        <v>399</v>
      </c>
      <c r="S2" s="1470" t="s">
        <v>398</v>
      </c>
      <c r="X2" s="1470" t="s">
        <v>397</v>
      </c>
      <c r="Y2" s="1470" t="s">
        <v>398</v>
      </c>
      <c r="AD2" s="1470" t="s">
        <v>397</v>
      </c>
      <c r="AE2" s="1470" t="s">
        <v>398</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row>
    <row r="3" spans="1:64" s="2039" customFormat="1" ht="11.25" customHeight="1">
      <c r="AJ3" s="1490"/>
      <c r="AK3" s="226"/>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row>
    <row r="4" spans="1:64" s="1826" customFormat="1" ht="33" customHeight="1">
      <c r="A4" s="1056"/>
      <c r="B4" s="1055"/>
      <c r="C4" s="1424"/>
      <c r="D4" s="6707" t="s">
        <v>400</v>
      </c>
      <c r="E4" s="6707"/>
      <c r="F4" s="6707"/>
      <c r="G4" s="6707"/>
      <c r="H4" s="6707"/>
      <c r="I4" s="6707"/>
      <c r="J4" s="6707"/>
      <c r="K4" s="619"/>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row>
    <row r="5" spans="1:64" s="2043" customFormat="1" ht="14.25" customHeight="1">
      <c r="A5" s="1543"/>
      <c r="B5" s="1542"/>
      <c r="C5" s="1424"/>
      <c r="D5" s="6694" t="str">
        <f>IF(org=0,"Не определено",org)</f>
        <v>ООО "Марикоммунэнерго"</v>
      </c>
      <c r="E5" s="6694"/>
      <c r="F5" s="6694"/>
      <c r="G5" s="6694"/>
      <c r="H5" s="6694"/>
      <c r="I5" s="6694"/>
      <c r="J5" s="6694"/>
      <c r="K5" s="619"/>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row>
    <row r="6" spans="1:64" s="1826" customFormat="1" ht="14.25" customHeight="1">
      <c r="A6" s="1056"/>
      <c r="B6" s="1055"/>
      <c r="C6" s="1424"/>
      <c r="D6" s="619"/>
      <c r="E6" s="619"/>
      <c r="F6" s="619"/>
      <c r="G6" s="619"/>
      <c r="H6" s="619"/>
      <c r="I6" s="619"/>
      <c r="J6" s="619"/>
      <c r="K6" s="619"/>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row>
    <row r="7" spans="1:64" s="1829"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6629" t="s">
        <v>87</v>
      </c>
      <c r="E8" s="6629" t="s">
        <v>174</v>
      </c>
      <c r="F8" s="6708" t="s">
        <v>188</v>
      </c>
      <c r="G8" s="6709"/>
      <c r="H8" s="6708" t="s">
        <v>87</v>
      </c>
      <c r="I8" s="6709"/>
      <c r="J8" s="6629" t="s">
        <v>189</v>
      </c>
      <c r="K8" s="1472"/>
      <c r="L8" s="6693" t="s">
        <v>401</v>
      </c>
      <c r="M8" s="6693"/>
      <c r="N8" s="6693"/>
      <c r="O8" s="6693"/>
      <c r="P8" s="6693"/>
      <c r="Q8" s="1473"/>
      <c r="R8" s="6600" t="s">
        <v>402</v>
      </c>
      <c r="S8" s="6605"/>
      <c r="T8" s="6605"/>
      <c r="U8" s="6605"/>
      <c r="V8" s="6605"/>
      <c r="W8" s="1473"/>
      <c r="X8" s="6629" t="s">
        <v>403</v>
      </c>
      <c r="Y8" s="6629"/>
      <c r="Z8" s="6629"/>
      <c r="AA8" s="6629"/>
      <c r="AB8" s="6629"/>
      <c r="AC8" s="1474"/>
      <c r="AD8" s="6629" t="s">
        <v>404</v>
      </c>
      <c r="AE8" s="6629"/>
      <c r="AF8" s="6629"/>
      <c r="AG8" s="6629"/>
      <c r="AH8" s="6600"/>
      <c r="AI8" s="6629" t="s">
        <v>405</v>
      </c>
      <c r="AJ8" s="1490"/>
    </row>
    <row r="9" spans="1:64" ht="22.5" customHeight="1">
      <c r="D9" s="6629"/>
      <c r="E9" s="6629"/>
      <c r="F9" s="6693" t="s">
        <v>88</v>
      </c>
      <c r="G9" s="6693" t="s">
        <v>194</v>
      </c>
      <c r="H9" s="6710"/>
      <c r="I9" s="6711"/>
      <c r="J9" s="6600"/>
      <c r="K9" s="1475"/>
      <c r="L9" s="6629" t="s">
        <v>406</v>
      </c>
      <c r="M9" s="6600"/>
      <c r="N9" s="6708" t="s">
        <v>87</v>
      </c>
      <c r="O9" s="6709"/>
      <c r="P9" s="6629" t="s">
        <v>195</v>
      </c>
      <c r="Q9" s="1472"/>
      <c r="R9" s="6629" t="s">
        <v>406</v>
      </c>
      <c r="S9" s="6600"/>
      <c r="T9" s="6708" t="s">
        <v>87</v>
      </c>
      <c r="U9" s="6709"/>
      <c r="V9" s="6629" t="s">
        <v>195</v>
      </c>
      <c r="W9" s="1472"/>
      <c r="X9" s="6629" t="s">
        <v>406</v>
      </c>
      <c r="Y9" s="6600"/>
      <c r="Z9" s="6708" t="s">
        <v>87</v>
      </c>
      <c r="AA9" s="6709"/>
      <c r="AB9" s="6629" t="s">
        <v>407</v>
      </c>
      <c r="AC9" s="1472"/>
      <c r="AD9" s="6629" t="s">
        <v>406</v>
      </c>
      <c r="AE9" s="6600"/>
      <c r="AF9" s="6708" t="s">
        <v>87</v>
      </c>
      <c r="AG9" s="6709"/>
      <c r="AH9" s="6600" t="s">
        <v>407</v>
      </c>
      <c r="AI9" s="6629"/>
      <c r="AJ9" s="1490"/>
    </row>
    <row r="10" spans="1:64" ht="22.5" customHeight="1">
      <c r="D10" s="6693"/>
      <c r="E10" s="6693"/>
      <c r="F10" s="6712"/>
      <c r="G10" s="6712"/>
      <c r="H10" s="6713"/>
      <c r="I10" s="6714"/>
      <c r="J10" s="6708"/>
      <c r="K10" s="1475"/>
      <c r="L10" s="1494" t="s">
        <v>408</v>
      </c>
      <c r="M10" s="1489" t="s">
        <v>409</v>
      </c>
      <c r="N10" s="6710"/>
      <c r="O10" s="6711"/>
      <c r="P10" s="6693"/>
      <c r="Q10" s="1472"/>
      <c r="R10" s="1494" t="s">
        <v>408</v>
      </c>
      <c r="S10" s="1489" t="s">
        <v>409</v>
      </c>
      <c r="T10" s="6710"/>
      <c r="U10" s="6711"/>
      <c r="V10" s="6693"/>
      <c r="W10" s="1472"/>
      <c r="X10" s="1494" t="s">
        <v>408</v>
      </c>
      <c r="Y10" s="1489" t="s">
        <v>409</v>
      </c>
      <c r="Z10" s="6710"/>
      <c r="AA10" s="6711"/>
      <c r="AB10" s="6693"/>
      <c r="AC10" s="1472"/>
      <c r="AD10" s="1494" t="s">
        <v>408</v>
      </c>
      <c r="AE10" s="1489" t="s">
        <v>409</v>
      </c>
      <c r="AF10" s="6710"/>
      <c r="AG10" s="6711"/>
      <c r="AH10" s="6708"/>
      <c r="AI10" s="6693"/>
      <c r="AJ10" s="1490"/>
      <c r="AK10" s="173" t="s">
        <v>410</v>
      </c>
      <c r="AL10" s="173" t="s">
        <v>196</v>
      </c>
    </row>
    <row r="11" spans="1:64" ht="14.25" customHeight="1">
      <c r="D11" s="6701" t="s">
        <v>178</v>
      </c>
      <c r="E11" s="6697" t="s">
        <v>411</v>
      </c>
      <c r="F11" s="6697" t="s">
        <v>412</v>
      </c>
      <c r="G11" s="6688" t="s">
        <v>56</v>
      </c>
      <c r="H11" s="1515"/>
      <c r="I11" s="6699"/>
      <c r="J11" s="6654"/>
      <c r="K11" s="1423"/>
      <c r="L11" s="6637"/>
      <c r="M11" s="6637"/>
      <c r="N11" s="1500"/>
      <c r="O11" s="6637"/>
      <c r="P11" s="6654"/>
      <c r="Q11" s="1501"/>
      <c r="R11" s="6637"/>
      <c r="S11" s="6637"/>
      <c r="T11" s="1502"/>
      <c r="U11" s="6637"/>
      <c r="V11" s="6654"/>
      <c r="W11" s="1503"/>
      <c r="X11" s="6637"/>
      <c r="Y11" s="6637"/>
      <c r="Z11" s="1500"/>
      <c r="AA11" s="6637"/>
      <c r="AB11" s="6654"/>
      <c r="AC11" s="1504"/>
      <c r="AD11" s="6637"/>
      <c r="AE11" s="6637"/>
      <c r="AF11" s="1422"/>
      <c r="AG11" s="1422"/>
      <c r="AH11" s="1505"/>
      <c r="AI11" s="1215"/>
      <c r="AJ11" s="1490"/>
    </row>
    <row r="12" spans="1:64" ht="14.25" customHeight="1">
      <c r="D12" s="6701"/>
      <c r="E12" s="6697"/>
      <c r="F12" s="6697"/>
      <c r="G12" s="6689"/>
      <c r="H12" s="1516"/>
      <c r="I12" s="6700"/>
      <c r="J12" s="6655"/>
      <c r="K12" s="1524"/>
      <c r="L12" s="6638"/>
      <c r="M12" s="6638"/>
      <c r="N12" s="1506"/>
      <c r="O12" s="6638"/>
      <c r="P12" s="6655"/>
      <c r="Q12" s="1507"/>
      <c r="R12" s="6638"/>
      <c r="S12" s="6638"/>
      <c r="T12" s="1508"/>
      <c r="U12" s="6638"/>
      <c r="V12" s="6655"/>
      <c r="W12" s="1509"/>
      <c r="X12" s="6638"/>
      <c r="Y12" s="6638"/>
      <c r="Z12" s="1506"/>
      <c r="AA12" s="6638"/>
      <c r="AB12" s="6655"/>
      <c r="AC12" s="1510"/>
      <c r="AD12" s="6638"/>
      <c r="AE12" s="6638"/>
      <c r="AF12" s="1511"/>
      <c r="AG12" s="1511"/>
      <c r="AH12" s="6695"/>
      <c r="AI12" s="6696"/>
      <c r="AJ12" s="1490"/>
    </row>
    <row r="13" spans="1:64" ht="14.25" customHeight="1">
      <c r="D13" s="6701"/>
      <c r="E13" s="6697"/>
      <c r="F13" s="6697"/>
      <c r="G13" s="6689"/>
      <c r="H13" s="1516"/>
      <c r="I13" s="6700"/>
      <c r="J13" s="6655"/>
      <c r="K13" s="1524"/>
      <c r="L13" s="6638"/>
      <c r="M13" s="6638"/>
      <c r="N13" s="1506"/>
      <c r="O13" s="6638"/>
      <c r="P13" s="6655"/>
      <c r="Q13" s="1507"/>
      <c r="R13" s="6638"/>
      <c r="S13" s="6638"/>
      <c r="T13" s="1508"/>
      <c r="U13" s="6638"/>
      <c r="V13" s="6655"/>
      <c r="W13" s="1509"/>
      <c r="X13" s="6638"/>
      <c r="Y13" s="6638"/>
      <c r="Z13" s="1421"/>
      <c r="AA13" s="1511"/>
      <c r="AB13" s="6695"/>
      <c r="AC13" s="6695"/>
      <c r="AD13" s="6695"/>
      <c r="AE13" s="6695"/>
      <c r="AF13" s="6695"/>
      <c r="AG13" s="6695"/>
      <c r="AH13" s="6695"/>
      <c r="AI13" s="6696"/>
      <c r="AJ13" s="1490"/>
    </row>
    <row r="14" spans="1:64" ht="14.25" customHeight="1">
      <c r="D14" s="6701"/>
      <c r="E14" s="6697"/>
      <c r="F14" s="6697"/>
      <c r="G14" s="6689"/>
      <c r="H14" s="1516"/>
      <c r="I14" s="6700"/>
      <c r="J14" s="6655"/>
      <c r="K14" s="1524"/>
      <c r="L14" s="6638"/>
      <c r="M14" s="6638"/>
      <c r="N14" s="1506"/>
      <c r="O14" s="6638"/>
      <c r="P14" s="6655"/>
      <c r="Q14" s="1507"/>
      <c r="R14" s="6638"/>
      <c r="S14" s="6638"/>
      <c r="T14" s="1512"/>
      <c r="U14" s="1513"/>
      <c r="V14" s="6695"/>
      <c r="W14" s="6695"/>
      <c r="X14" s="6695"/>
      <c r="Y14" s="6695"/>
      <c r="Z14" s="6695"/>
      <c r="AA14" s="6695"/>
      <c r="AB14" s="6695"/>
      <c r="AC14" s="6695"/>
      <c r="AD14" s="6695"/>
      <c r="AE14" s="6695"/>
      <c r="AF14" s="6695"/>
      <c r="AG14" s="6695"/>
      <c r="AH14" s="6695"/>
      <c r="AI14" s="6696"/>
      <c r="AJ14" s="1490"/>
    </row>
    <row r="15" spans="1:64" ht="11.25" customHeight="1">
      <c r="D15" s="6701"/>
      <c r="E15" s="6697"/>
      <c r="F15" s="6697"/>
      <c r="G15" s="6689"/>
      <c r="H15" s="1517"/>
      <c r="I15" s="6700"/>
      <c r="J15" s="6655"/>
      <c r="K15" s="1524"/>
      <c r="L15" s="6638"/>
      <c r="M15" s="6638"/>
      <c r="N15" s="1511"/>
      <c r="O15" s="1511"/>
      <c r="P15" s="6695"/>
      <c r="Q15" s="6695"/>
      <c r="R15" s="6695"/>
      <c r="S15" s="6695"/>
      <c r="T15" s="6695"/>
      <c r="U15" s="6695"/>
      <c r="V15" s="6695"/>
      <c r="W15" s="6695"/>
      <c r="X15" s="6695"/>
      <c r="Y15" s="6695"/>
      <c r="Z15" s="6695"/>
      <c r="AA15" s="6695"/>
      <c r="AB15" s="6695"/>
      <c r="AC15" s="6695"/>
      <c r="AD15" s="6695"/>
      <c r="AE15" s="6695"/>
      <c r="AF15" s="6695"/>
      <c r="AG15" s="6695"/>
      <c r="AH15" s="6695"/>
      <c r="AI15" s="6696"/>
      <c r="AJ15" s="1490"/>
    </row>
    <row r="16" spans="1:64" s="2039" customFormat="1" ht="11.25" customHeight="1">
      <c r="D16" s="6705"/>
      <c r="E16" s="6706"/>
      <c r="F16" s="6698"/>
      <c r="G16" s="6615"/>
      <c r="H16" s="1514"/>
      <c r="I16" s="1518"/>
      <c r="J16" s="6703"/>
      <c r="K16" s="6703"/>
      <c r="L16" s="6703"/>
      <c r="M16" s="6703"/>
      <c r="N16" s="6703"/>
      <c r="O16" s="6703"/>
      <c r="P16" s="6703"/>
      <c r="Q16" s="6703"/>
      <c r="R16" s="6703"/>
      <c r="S16" s="6703"/>
      <c r="T16" s="6703"/>
      <c r="U16" s="6703"/>
      <c r="V16" s="6703"/>
      <c r="W16" s="6703"/>
      <c r="X16" s="6703"/>
      <c r="Y16" s="6703"/>
      <c r="Z16" s="6703"/>
      <c r="AA16" s="6703"/>
      <c r="AB16" s="6703"/>
      <c r="AC16" s="6703"/>
      <c r="AD16" s="6703"/>
      <c r="AE16" s="6703"/>
      <c r="AF16" s="6703"/>
      <c r="AG16" s="6703"/>
      <c r="AH16" s="6703"/>
      <c r="AI16" s="6704"/>
      <c r="AJ16" s="1490"/>
      <c r="AK16" s="226"/>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row>
    <row r="17" spans="4:64" ht="14.25" customHeight="1">
      <c r="D17" s="6701" t="s">
        <v>98</v>
      </c>
      <c r="E17" s="6697" t="s">
        <v>411</v>
      </c>
      <c r="F17" s="6697" t="s">
        <v>413</v>
      </c>
      <c r="G17" s="6688" t="s">
        <v>56</v>
      </c>
      <c r="H17" s="1515"/>
      <c r="I17" s="6699"/>
      <c r="J17" s="6654"/>
      <c r="K17" s="1423"/>
      <c r="L17" s="6637"/>
      <c r="M17" s="6637"/>
      <c r="N17" s="1500"/>
      <c r="O17" s="6637"/>
      <c r="P17" s="6654"/>
      <c r="Q17" s="1501"/>
      <c r="R17" s="6637"/>
      <c r="S17" s="6637"/>
      <c r="T17" s="1502"/>
      <c r="U17" s="6637"/>
      <c r="V17" s="6654"/>
      <c r="W17" s="1503"/>
      <c r="X17" s="6637"/>
      <c r="Y17" s="6637"/>
      <c r="Z17" s="1500"/>
      <c r="AA17" s="6637"/>
      <c r="AB17" s="6654"/>
      <c r="AC17" s="1504"/>
      <c r="AD17" s="6637"/>
      <c r="AE17" s="6637"/>
      <c r="AF17" s="1422"/>
      <c r="AG17" s="1422"/>
      <c r="AH17" s="1505"/>
      <c r="AI17" s="1215"/>
      <c r="AJ17" s="1490"/>
    </row>
    <row r="18" spans="4:64" ht="14.25" customHeight="1">
      <c r="D18" s="6701"/>
      <c r="E18" s="6697"/>
      <c r="F18" s="6697"/>
      <c r="G18" s="6689"/>
      <c r="H18" s="1516"/>
      <c r="I18" s="6700"/>
      <c r="J18" s="6655"/>
      <c r="K18" s="1499"/>
      <c r="L18" s="6638"/>
      <c r="M18" s="6638"/>
      <c r="N18" s="1506"/>
      <c r="O18" s="6638"/>
      <c r="P18" s="6655"/>
      <c r="Q18" s="1507"/>
      <c r="R18" s="6638"/>
      <c r="S18" s="6638"/>
      <c r="T18" s="1508"/>
      <c r="U18" s="6638"/>
      <c r="V18" s="6655"/>
      <c r="W18" s="1509"/>
      <c r="X18" s="6638"/>
      <c r="Y18" s="6638"/>
      <c r="Z18" s="1506"/>
      <c r="AA18" s="6638"/>
      <c r="AB18" s="6655"/>
      <c r="AC18" s="1510"/>
      <c r="AD18" s="6638"/>
      <c r="AE18" s="6638"/>
      <c r="AF18" s="1511"/>
      <c r="AG18" s="1511"/>
      <c r="AH18" s="6695"/>
      <c r="AI18" s="6696"/>
      <c r="AJ18" s="1490"/>
    </row>
    <row r="19" spans="4:64" ht="14.25" customHeight="1">
      <c r="D19" s="6701"/>
      <c r="E19" s="6697"/>
      <c r="F19" s="6697"/>
      <c r="G19" s="6689"/>
      <c r="H19" s="1516"/>
      <c r="I19" s="6700"/>
      <c r="J19" s="6655"/>
      <c r="K19" s="1499"/>
      <c r="L19" s="6638"/>
      <c r="M19" s="6638"/>
      <c r="N19" s="1506"/>
      <c r="O19" s="6638"/>
      <c r="P19" s="6655"/>
      <c r="Q19" s="1507"/>
      <c r="R19" s="6638"/>
      <c r="S19" s="6638"/>
      <c r="T19" s="1508"/>
      <c r="U19" s="6638"/>
      <c r="V19" s="6655"/>
      <c r="W19" s="1509"/>
      <c r="X19" s="6638"/>
      <c r="Y19" s="6638"/>
      <c r="Z19" s="1421"/>
      <c r="AA19" s="1511"/>
      <c r="AB19" s="6695"/>
      <c r="AC19" s="6695"/>
      <c r="AD19" s="6695"/>
      <c r="AE19" s="6695"/>
      <c r="AF19" s="6695"/>
      <c r="AG19" s="6695"/>
      <c r="AH19" s="6695"/>
      <c r="AI19" s="6696"/>
      <c r="AJ19" s="1490"/>
    </row>
    <row r="20" spans="4:64" ht="14.25" customHeight="1">
      <c r="D20" s="6701"/>
      <c r="E20" s="6697"/>
      <c r="F20" s="6697"/>
      <c r="G20" s="6689"/>
      <c r="H20" s="1516"/>
      <c r="I20" s="6700"/>
      <c r="J20" s="6655"/>
      <c r="K20" s="1499"/>
      <c r="L20" s="6638"/>
      <c r="M20" s="6638"/>
      <c r="N20" s="1506"/>
      <c r="O20" s="6638"/>
      <c r="P20" s="6655"/>
      <c r="Q20" s="1507"/>
      <c r="R20" s="6638"/>
      <c r="S20" s="6638"/>
      <c r="T20" s="1512"/>
      <c r="U20" s="1513"/>
      <c r="V20" s="6695"/>
      <c r="W20" s="6695"/>
      <c r="X20" s="6695"/>
      <c r="Y20" s="6695"/>
      <c r="Z20" s="6695"/>
      <c r="AA20" s="6695"/>
      <c r="AB20" s="6695"/>
      <c r="AC20" s="6695"/>
      <c r="AD20" s="6695"/>
      <c r="AE20" s="6695"/>
      <c r="AF20" s="6695"/>
      <c r="AG20" s="6695"/>
      <c r="AH20" s="6695"/>
      <c r="AI20" s="6696"/>
      <c r="AJ20" s="1490"/>
    </row>
    <row r="21" spans="4:64" ht="11.25" customHeight="1">
      <c r="D21" s="6701"/>
      <c r="E21" s="6697"/>
      <c r="F21" s="6697"/>
      <c r="G21" s="6689"/>
      <c r="H21" s="1517"/>
      <c r="I21" s="6700"/>
      <c r="J21" s="6655"/>
      <c r="K21" s="1499"/>
      <c r="L21" s="6638"/>
      <c r="M21" s="6638"/>
      <c r="N21" s="1511"/>
      <c r="O21" s="1511"/>
      <c r="P21" s="6695"/>
      <c r="Q21" s="6695"/>
      <c r="R21" s="6695"/>
      <c r="S21" s="6695"/>
      <c r="T21" s="6695"/>
      <c r="U21" s="6695"/>
      <c r="V21" s="6695"/>
      <c r="W21" s="6695"/>
      <c r="X21" s="6695"/>
      <c r="Y21" s="6695"/>
      <c r="Z21" s="6695"/>
      <c r="AA21" s="6695"/>
      <c r="AB21" s="6695"/>
      <c r="AC21" s="6695"/>
      <c r="AD21" s="6695"/>
      <c r="AE21" s="6695"/>
      <c r="AF21" s="6695"/>
      <c r="AG21" s="6695"/>
      <c r="AH21" s="6695"/>
      <c r="AI21" s="6696"/>
      <c r="AJ21" s="1490"/>
    </row>
    <row r="22" spans="4:64" s="2039" customFormat="1" ht="11.25" customHeight="1">
      <c r="D22" s="6705"/>
      <c r="E22" s="6706"/>
      <c r="F22" s="6698"/>
      <c r="G22" s="6615"/>
      <c r="H22" s="1514"/>
      <c r="I22" s="1518"/>
      <c r="J22" s="6703"/>
      <c r="K22" s="6703"/>
      <c r="L22" s="6703"/>
      <c r="M22" s="6703"/>
      <c r="N22" s="6703"/>
      <c r="O22" s="6703"/>
      <c r="P22" s="6703"/>
      <c r="Q22" s="6703"/>
      <c r="R22" s="6703"/>
      <c r="S22" s="6703"/>
      <c r="T22" s="6703"/>
      <c r="U22" s="6703"/>
      <c r="V22" s="6703"/>
      <c r="W22" s="6703"/>
      <c r="X22" s="6703"/>
      <c r="Y22" s="6703"/>
      <c r="Z22" s="6703"/>
      <c r="AA22" s="6703"/>
      <c r="AB22" s="6703"/>
      <c r="AC22" s="6703"/>
      <c r="AD22" s="6703"/>
      <c r="AE22" s="6703"/>
      <c r="AF22" s="6703"/>
      <c r="AG22" s="6703"/>
      <c r="AH22" s="6703"/>
      <c r="AI22" s="6704"/>
      <c r="AJ22" s="1490"/>
      <c r="AK22" s="226"/>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row>
    <row r="23" spans="4:64" ht="14.25" customHeight="1">
      <c r="D23" s="6701" t="s">
        <v>89</v>
      </c>
      <c r="E23" s="6697" t="s">
        <v>411</v>
      </c>
      <c r="F23" s="6697" t="s">
        <v>414</v>
      </c>
      <c r="G23" s="6688" t="s">
        <v>56</v>
      </c>
      <c r="H23" s="1515"/>
      <c r="I23" s="6699"/>
      <c r="J23" s="6654"/>
      <c r="K23" s="1423"/>
      <c r="L23" s="6637"/>
      <c r="M23" s="6637"/>
      <c r="N23" s="1500"/>
      <c r="O23" s="6637"/>
      <c r="P23" s="6654"/>
      <c r="Q23" s="1501"/>
      <c r="R23" s="6637"/>
      <c r="S23" s="6637"/>
      <c r="T23" s="1502"/>
      <c r="U23" s="6637"/>
      <c r="V23" s="6654"/>
      <c r="W23" s="1503"/>
      <c r="X23" s="6637"/>
      <c r="Y23" s="6637"/>
      <c r="Z23" s="1500"/>
      <c r="AA23" s="6637"/>
      <c r="AB23" s="6654"/>
      <c r="AC23" s="1504"/>
      <c r="AD23" s="6637"/>
      <c r="AE23" s="6637"/>
      <c r="AF23" s="1422"/>
      <c r="AG23" s="1422"/>
      <c r="AH23" s="1505"/>
      <c r="AI23" s="1215"/>
      <c r="AJ23" s="1490"/>
      <c r="AK23" s="226" t="s">
        <v>97</v>
      </c>
    </row>
    <row r="24" spans="4:64" ht="14.25" customHeight="1">
      <c r="D24" s="6701"/>
      <c r="E24" s="6697"/>
      <c r="F24" s="6697"/>
      <c r="G24" s="6689"/>
      <c r="H24" s="1516"/>
      <c r="I24" s="6700"/>
      <c r="J24" s="6655"/>
      <c r="K24" s="1524"/>
      <c r="L24" s="6638"/>
      <c r="M24" s="6638"/>
      <c r="N24" s="1506"/>
      <c r="O24" s="6638"/>
      <c r="P24" s="6655"/>
      <c r="Q24" s="1507"/>
      <c r="R24" s="6638"/>
      <c r="S24" s="6638"/>
      <c r="T24" s="1508"/>
      <c r="U24" s="6638"/>
      <c r="V24" s="6655"/>
      <c r="W24" s="1509"/>
      <c r="X24" s="6638"/>
      <c r="Y24" s="6638"/>
      <c r="Z24" s="1506"/>
      <c r="AA24" s="6638"/>
      <c r="AB24" s="6655"/>
      <c r="AC24" s="1510"/>
      <c r="AD24" s="6638"/>
      <c r="AE24" s="6638"/>
      <c r="AF24" s="1511"/>
      <c r="AG24" s="1511"/>
      <c r="AH24" s="6695"/>
      <c r="AI24" s="6696"/>
      <c r="AJ24" s="1490"/>
    </row>
    <row r="25" spans="4:64" ht="14.25" customHeight="1">
      <c r="D25" s="6701"/>
      <c r="E25" s="6697"/>
      <c r="F25" s="6697"/>
      <c r="G25" s="6689"/>
      <c r="H25" s="1516"/>
      <c r="I25" s="6700"/>
      <c r="J25" s="6655"/>
      <c r="K25" s="1524"/>
      <c r="L25" s="6638"/>
      <c r="M25" s="6638"/>
      <c r="N25" s="1506"/>
      <c r="O25" s="6638"/>
      <c r="P25" s="6655"/>
      <c r="Q25" s="1507"/>
      <c r="R25" s="6638"/>
      <c r="S25" s="6638"/>
      <c r="T25" s="1508"/>
      <c r="U25" s="6638"/>
      <c r="V25" s="6655"/>
      <c r="W25" s="1509"/>
      <c r="X25" s="6638"/>
      <c r="Y25" s="6638"/>
      <c r="Z25" s="1421"/>
      <c r="AA25" s="1511"/>
      <c r="AB25" s="6695"/>
      <c r="AC25" s="6695"/>
      <c r="AD25" s="6695"/>
      <c r="AE25" s="6695"/>
      <c r="AF25" s="6695"/>
      <c r="AG25" s="6695"/>
      <c r="AH25" s="6695"/>
      <c r="AI25" s="6696"/>
      <c r="AJ25" s="1490"/>
    </row>
    <row r="26" spans="4:64" ht="14.25" customHeight="1">
      <c r="D26" s="6701"/>
      <c r="E26" s="6697"/>
      <c r="F26" s="6697"/>
      <c r="G26" s="6689"/>
      <c r="H26" s="1516"/>
      <c r="I26" s="6700"/>
      <c r="J26" s="6655"/>
      <c r="K26" s="1524"/>
      <c r="L26" s="6638"/>
      <c r="M26" s="6638"/>
      <c r="N26" s="1506"/>
      <c r="O26" s="6638"/>
      <c r="P26" s="6655"/>
      <c r="Q26" s="1507"/>
      <c r="R26" s="6638"/>
      <c r="S26" s="6638"/>
      <c r="T26" s="1512"/>
      <c r="U26" s="1513"/>
      <c r="V26" s="6695"/>
      <c r="W26" s="6695"/>
      <c r="X26" s="6695"/>
      <c r="Y26" s="6695"/>
      <c r="Z26" s="6695"/>
      <c r="AA26" s="6695"/>
      <c r="AB26" s="6695"/>
      <c r="AC26" s="6695"/>
      <c r="AD26" s="6695"/>
      <c r="AE26" s="6695"/>
      <c r="AF26" s="6695"/>
      <c r="AG26" s="6695"/>
      <c r="AH26" s="6695"/>
      <c r="AI26" s="6696"/>
      <c r="AJ26" s="1490"/>
    </row>
    <row r="27" spans="4:64" ht="11.25" customHeight="1">
      <c r="D27" s="6701"/>
      <c r="E27" s="6697"/>
      <c r="F27" s="6697"/>
      <c r="G27" s="6689"/>
      <c r="H27" s="1517"/>
      <c r="I27" s="6700"/>
      <c r="J27" s="6655"/>
      <c r="K27" s="1524"/>
      <c r="L27" s="6638"/>
      <c r="M27" s="6638"/>
      <c r="N27" s="1511"/>
      <c r="O27" s="1511"/>
      <c r="P27" s="6695"/>
      <c r="Q27" s="6695"/>
      <c r="R27" s="6695"/>
      <c r="S27" s="6695"/>
      <c r="T27" s="6695"/>
      <c r="U27" s="6695"/>
      <c r="V27" s="6695"/>
      <c r="W27" s="6695"/>
      <c r="X27" s="6695"/>
      <c r="Y27" s="6695"/>
      <c r="Z27" s="6695"/>
      <c r="AA27" s="6695"/>
      <c r="AB27" s="6695"/>
      <c r="AC27" s="6695"/>
      <c r="AD27" s="6695"/>
      <c r="AE27" s="6695"/>
      <c r="AF27" s="6695"/>
      <c r="AG27" s="6695"/>
      <c r="AH27" s="6695"/>
      <c r="AI27" s="6696"/>
      <c r="AJ27" s="1490"/>
    </row>
    <row r="28" spans="4:64" s="2039" customFormat="1" ht="11.25" customHeight="1">
      <c r="D28" s="6705"/>
      <c r="E28" s="6706"/>
      <c r="F28" s="6698"/>
      <c r="G28" s="6615"/>
      <c r="H28" s="1514"/>
      <c r="I28" s="1518"/>
      <c r="J28" s="6703"/>
      <c r="K28" s="6703"/>
      <c r="L28" s="6703"/>
      <c r="M28" s="6703"/>
      <c r="N28" s="6703"/>
      <c r="O28" s="6703"/>
      <c r="P28" s="6703"/>
      <c r="Q28" s="6703"/>
      <c r="R28" s="6703"/>
      <c r="S28" s="6703"/>
      <c r="T28" s="6703"/>
      <c r="U28" s="6703"/>
      <c r="V28" s="6703"/>
      <c r="W28" s="6703"/>
      <c r="X28" s="6703"/>
      <c r="Y28" s="6703"/>
      <c r="Z28" s="6703"/>
      <c r="AA28" s="6703"/>
      <c r="AB28" s="6703"/>
      <c r="AC28" s="6703"/>
      <c r="AD28" s="6703"/>
      <c r="AE28" s="6703"/>
      <c r="AF28" s="6703"/>
      <c r="AG28" s="6703"/>
      <c r="AH28" s="6703"/>
      <c r="AI28" s="6704"/>
      <c r="AJ28" s="1490"/>
      <c r="AK28" s="226"/>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row>
    <row r="29" spans="4:64" ht="14.25" customHeight="1">
      <c r="D29" s="6701" t="s">
        <v>90</v>
      </c>
      <c r="E29" s="6697" t="s">
        <v>411</v>
      </c>
      <c r="F29" s="6697" t="s">
        <v>415</v>
      </c>
      <c r="G29" s="6688" t="s">
        <v>56</v>
      </c>
      <c r="H29" s="1515"/>
      <c r="I29" s="6699"/>
      <c r="J29" s="6654"/>
      <c r="K29" s="1423"/>
      <c r="L29" s="6637"/>
      <c r="M29" s="6637"/>
      <c r="N29" s="1500"/>
      <c r="O29" s="6637"/>
      <c r="P29" s="6654"/>
      <c r="Q29" s="1501"/>
      <c r="R29" s="6637"/>
      <c r="S29" s="6637"/>
      <c r="T29" s="1502"/>
      <c r="U29" s="6637"/>
      <c r="V29" s="6654"/>
      <c r="W29" s="1503"/>
      <c r="X29" s="6637"/>
      <c r="Y29" s="6637"/>
      <c r="Z29" s="1500"/>
      <c r="AA29" s="6637"/>
      <c r="AB29" s="6654"/>
      <c r="AC29" s="1504"/>
      <c r="AD29" s="6637"/>
      <c r="AE29" s="6637"/>
      <c r="AF29" s="1422"/>
      <c r="AG29" s="1422"/>
      <c r="AH29" s="1505"/>
      <c r="AI29" s="1215"/>
      <c r="AJ29" s="1490"/>
    </row>
    <row r="30" spans="4:64" ht="14.25" customHeight="1">
      <c r="D30" s="6701"/>
      <c r="E30" s="6697"/>
      <c r="F30" s="6697"/>
      <c r="G30" s="6689"/>
      <c r="H30" s="1516"/>
      <c r="I30" s="6700"/>
      <c r="J30" s="6655"/>
      <c r="K30" s="1499"/>
      <c r="L30" s="6638"/>
      <c r="M30" s="6638"/>
      <c r="N30" s="1506"/>
      <c r="O30" s="6638"/>
      <c r="P30" s="6655"/>
      <c r="Q30" s="1507"/>
      <c r="R30" s="6638"/>
      <c r="S30" s="6638"/>
      <c r="T30" s="1508"/>
      <c r="U30" s="6638"/>
      <c r="V30" s="6655"/>
      <c r="W30" s="1509"/>
      <c r="X30" s="6638"/>
      <c r="Y30" s="6638"/>
      <c r="Z30" s="1506"/>
      <c r="AA30" s="6638"/>
      <c r="AB30" s="6655"/>
      <c r="AC30" s="1510"/>
      <c r="AD30" s="6638"/>
      <c r="AE30" s="6638"/>
      <c r="AF30" s="1511"/>
      <c r="AG30" s="1511"/>
      <c r="AH30" s="6695"/>
      <c r="AI30" s="6696"/>
      <c r="AJ30" s="1490"/>
    </row>
    <row r="31" spans="4:64" ht="14.25" customHeight="1">
      <c r="D31" s="6701"/>
      <c r="E31" s="6697"/>
      <c r="F31" s="6697"/>
      <c r="G31" s="6689"/>
      <c r="H31" s="1516"/>
      <c r="I31" s="6700"/>
      <c r="J31" s="6655"/>
      <c r="K31" s="1499"/>
      <c r="L31" s="6638"/>
      <c r="M31" s="6638"/>
      <c r="N31" s="1506"/>
      <c r="O31" s="6638"/>
      <c r="P31" s="6655"/>
      <c r="Q31" s="1507"/>
      <c r="R31" s="6638"/>
      <c r="S31" s="6638"/>
      <c r="T31" s="1508"/>
      <c r="U31" s="6638"/>
      <c r="V31" s="6655"/>
      <c r="W31" s="1509"/>
      <c r="X31" s="6638"/>
      <c r="Y31" s="6638"/>
      <c r="Z31" s="1421"/>
      <c r="AA31" s="1511"/>
      <c r="AB31" s="6695"/>
      <c r="AC31" s="6695"/>
      <c r="AD31" s="6695"/>
      <c r="AE31" s="6695"/>
      <c r="AF31" s="6695"/>
      <c r="AG31" s="6695"/>
      <c r="AH31" s="6695"/>
      <c r="AI31" s="6696"/>
      <c r="AJ31" s="1490"/>
    </row>
    <row r="32" spans="4:64" ht="14.25" customHeight="1">
      <c r="D32" s="6701"/>
      <c r="E32" s="6697"/>
      <c r="F32" s="6697"/>
      <c r="G32" s="6689"/>
      <c r="H32" s="1516"/>
      <c r="I32" s="6700"/>
      <c r="J32" s="6655"/>
      <c r="K32" s="1499"/>
      <c r="L32" s="6638"/>
      <c r="M32" s="6638"/>
      <c r="N32" s="1506"/>
      <c r="O32" s="6638"/>
      <c r="P32" s="6655"/>
      <c r="Q32" s="1507"/>
      <c r="R32" s="6638"/>
      <c r="S32" s="6638"/>
      <c r="T32" s="1512"/>
      <c r="U32" s="1513"/>
      <c r="V32" s="6695"/>
      <c r="W32" s="6695"/>
      <c r="X32" s="6695"/>
      <c r="Y32" s="6695"/>
      <c r="Z32" s="6695"/>
      <c r="AA32" s="6695"/>
      <c r="AB32" s="6695"/>
      <c r="AC32" s="6695"/>
      <c r="AD32" s="6695"/>
      <c r="AE32" s="6695"/>
      <c r="AF32" s="6695"/>
      <c r="AG32" s="6695"/>
      <c r="AH32" s="6695"/>
      <c r="AI32" s="6696"/>
      <c r="AJ32" s="1490"/>
    </row>
    <row r="33" spans="4:64" ht="11.25" customHeight="1">
      <c r="D33" s="6701"/>
      <c r="E33" s="6697"/>
      <c r="F33" s="6697"/>
      <c r="G33" s="6689"/>
      <c r="H33" s="1517"/>
      <c r="I33" s="6700"/>
      <c r="J33" s="6655"/>
      <c r="K33" s="1499"/>
      <c r="L33" s="6638"/>
      <c r="M33" s="6638"/>
      <c r="N33" s="1511"/>
      <c r="O33" s="1511"/>
      <c r="P33" s="6695"/>
      <c r="Q33" s="6695"/>
      <c r="R33" s="6695"/>
      <c r="S33" s="6695"/>
      <c r="T33" s="6695"/>
      <c r="U33" s="6695"/>
      <c r="V33" s="6695"/>
      <c r="W33" s="6695"/>
      <c r="X33" s="6695"/>
      <c r="Y33" s="6695"/>
      <c r="Z33" s="6695"/>
      <c r="AA33" s="6695"/>
      <c r="AB33" s="6695"/>
      <c r="AC33" s="6695"/>
      <c r="AD33" s="6695"/>
      <c r="AE33" s="6695"/>
      <c r="AF33" s="6695"/>
      <c r="AG33" s="6695"/>
      <c r="AH33" s="6695"/>
      <c r="AI33" s="6696"/>
      <c r="AJ33" s="1490"/>
    </row>
    <row r="34" spans="4:64" s="2039" customFormat="1" ht="11.25" customHeight="1">
      <c r="D34" s="6705"/>
      <c r="E34" s="6706"/>
      <c r="F34" s="6698"/>
      <c r="G34" s="6615"/>
      <c r="H34" s="1514"/>
      <c r="I34" s="1518"/>
      <c r="J34" s="6703"/>
      <c r="K34" s="6703"/>
      <c r="L34" s="6703"/>
      <c r="M34" s="6703"/>
      <c r="N34" s="6703"/>
      <c r="O34" s="6703"/>
      <c r="P34" s="6703"/>
      <c r="Q34" s="6703"/>
      <c r="R34" s="6703"/>
      <c r="S34" s="6703"/>
      <c r="T34" s="6703"/>
      <c r="U34" s="6703"/>
      <c r="V34" s="6703"/>
      <c r="W34" s="6703"/>
      <c r="X34" s="6703"/>
      <c r="Y34" s="6703"/>
      <c r="Z34" s="6703"/>
      <c r="AA34" s="6703"/>
      <c r="AB34" s="6703"/>
      <c r="AC34" s="6703"/>
      <c r="AD34" s="6703"/>
      <c r="AE34" s="6703"/>
      <c r="AF34" s="6703"/>
      <c r="AG34" s="6703"/>
      <c r="AH34" s="6703"/>
      <c r="AI34" s="6704"/>
      <c r="AJ34" s="1490"/>
      <c r="AK34" s="226"/>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row>
    <row r="35" spans="4:64" ht="14.25" customHeight="1">
      <c r="D35" s="6701" t="s">
        <v>115</v>
      </c>
      <c r="E35" s="6697" t="s">
        <v>411</v>
      </c>
      <c r="F35" s="6697" t="s">
        <v>416</v>
      </c>
      <c r="G35" s="6688" t="s">
        <v>56</v>
      </c>
      <c r="H35" s="1515"/>
      <c r="I35" s="6699"/>
      <c r="J35" s="6654"/>
      <c r="K35" s="1423"/>
      <c r="L35" s="6637"/>
      <c r="M35" s="6637"/>
      <c r="N35" s="1500"/>
      <c r="O35" s="6637"/>
      <c r="P35" s="6654"/>
      <c r="Q35" s="1501"/>
      <c r="R35" s="6637"/>
      <c r="S35" s="6637"/>
      <c r="T35" s="1502"/>
      <c r="U35" s="6637"/>
      <c r="V35" s="6654"/>
      <c r="W35" s="1503"/>
      <c r="X35" s="6637"/>
      <c r="Y35" s="6637"/>
      <c r="Z35" s="1500"/>
      <c r="AA35" s="6637"/>
      <c r="AB35" s="6654"/>
      <c r="AC35" s="1504"/>
      <c r="AD35" s="6637"/>
      <c r="AE35" s="6637"/>
      <c r="AF35" s="1422"/>
      <c r="AG35" s="1422"/>
      <c r="AH35" s="1505"/>
      <c r="AI35" s="1215"/>
      <c r="AJ35" s="1490"/>
    </row>
    <row r="36" spans="4:64" ht="14.25" customHeight="1">
      <c r="D36" s="6701"/>
      <c r="E36" s="6697"/>
      <c r="F36" s="6697"/>
      <c r="G36" s="6689"/>
      <c r="H36" s="1516"/>
      <c r="I36" s="6700"/>
      <c r="J36" s="6655"/>
      <c r="K36" s="1499"/>
      <c r="L36" s="6638"/>
      <c r="M36" s="6638"/>
      <c r="N36" s="1506"/>
      <c r="O36" s="6638"/>
      <c r="P36" s="6655"/>
      <c r="Q36" s="1507"/>
      <c r="R36" s="6638"/>
      <c r="S36" s="6638"/>
      <c r="T36" s="1508"/>
      <c r="U36" s="6638"/>
      <c r="V36" s="6655"/>
      <c r="W36" s="1509"/>
      <c r="X36" s="6638"/>
      <c r="Y36" s="6638"/>
      <c r="Z36" s="1506"/>
      <c r="AA36" s="6638"/>
      <c r="AB36" s="6655"/>
      <c r="AC36" s="1510"/>
      <c r="AD36" s="6638"/>
      <c r="AE36" s="6638"/>
      <c r="AF36" s="1511"/>
      <c r="AG36" s="1511"/>
      <c r="AH36" s="6695"/>
      <c r="AI36" s="6696"/>
      <c r="AJ36" s="1490"/>
    </row>
    <row r="37" spans="4:64" ht="14.25" customHeight="1">
      <c r="D37" s="6701"/>
      <c r="E37" s="6697"/>
      <c r="F37" s="6697"/>
      <c r="G37" s="6689"/>
      <c r="H37" s="1516"/>
      <c r="I37" s="6700"/>
      <c r="J37" s="6655"/>
      <c r="K37" s="1499"/>
      <c r="L37" s="6638"/>
      <c r="M37" s="6638"/>
      <c r="N37" s="1506"/>
      <c r="O37" s="6638"/>
      <c r="P37" s="6655"/>
      <c r="Q37" s="1507"/>
      <c r="R37" s="6638"/>
      <c r="S37" s="6638"/>
      <c r="T37" s="1508"/>
      <c r="U37" s="6638"/>
      <c r="V37" s="6655"/>
      <c r="W37" s="1509"/>
      <c r="X37" s="6638"/>
      <c r="Y37" s="6638"/>
      <c r="Z37" s="1421"/>
      <c r="AA37" s="1511"/>
      <c r="AB37" s="6695"/>
      <c r="AC37" s="6695"/>
      <c r="AD37" s="6695"/>
      <c r="AE37" s="6695"/>
      <c r="AF37" s="6695"/>
      <c r="AG37" s="6695"/>
      <c r="AH37" s="6695"/>
      <c r="AI37" s="6696"/>
      <c r="AJ37" s="1490"/>
    </row>
    <row r="38" spans="4:64" ht="14.25" customHeight="1">
      <c r="D38" s="6701"/>
      <c r="E38" s="6697"/>
      <c r="F38" s="6697"/>
      <c r="G38" s="6689"/>
      <c r="H38" s="1516"/>
      <c r="I38" s="6700"/>
      <c r="J38" s="6655"/>
      <c r="K38" s="1499"/>
      <c r="L38" s="6638"/>
      <c r="M38" s="6638"/>
      <c r="N38" s="1506"/>
      <c r="O38" s="6638"/>
      <c r="P38" s="6655"/>
      <c r="Q38" s="1507"/>
      <c r="R38" s="6638"/>
      <c r="S38" s="6638"/>
      <c r="T38" s="1512"/>
      <c r="U38" s="1513"/>
      <c r="V38" s="6695"/>
      <c r="W38" s="6695"/>
      <c r="X38" s="6695"/>
      <c r="Y38" s="6695"/>
      <c r="Z38" s="6695"/>
      <c r="AA38" s="6695"/>
      <c r="AB38" s="6695"/>
      <c r="AC38" s="6695"/>
      <c r="AD38" s="6695"/>
      <c r="AE38" s="6695"/>
      <c r="AF38" s="6695"/>
      <c r="AG38" s="6695"/>
      <c r="AH38" s="6695"/>
      <c r="AI38" s="6696"/>
      <c r="AJ38" s="1490"/>
    </row>
    <row r="39" spans="4:64" ht="11.25" customHeight="1">
      <c r="D39" s="6701"/>
      <c r="E39" s="6697"/>
      <c r="F39" s="6697"/>
      <c r="G39" s="6689"/>
      <c r="H39" s="1517"/>
      <c r="I39" s="6700"/>
      <c r="J39" s="6655"/>
      <c r="K39" s="1499"/>
      <c r="L39" s="6638"/>
      <c r="M39" s="6638"/>
      <c r="N39" s="1511"/>
      <c r="O39" s="1511"/>
      <c r="P39" s="6695"/>
      <c r="Q39" s="6695"/>
      <c r="R39" s="6695"/>
      <c r="S39" s="6695"/>
      <c r="T39" s="6695"/>
      <c r="U39" s="6695"/>
      <c r="V39" s="6695"/>
      <c r="W39" s="6695"/>
      <c r="X39" s="6695"/>
      <c r="Y39" s="6695"/>
      <c r="Z39" s="6695"/>
      <c r="AA39" s="6695"/>
      <c r="AB39" s="6695"/>
      <c r="AC39" s="6695"/>
      <c r="AD39" s="6695"/>
      <c r="AE39" s="6695"/>
      <c r="AF39" s="6695"/>
      <c r="AG39" s="6695"/>
      <c r="AH39" s="6695"/>
      <c r="AI39" s="6696"/>
      <c r="AJ39" s="1490"/>
    </row>
    <row r="40" spans="4:64" s="2039" customFormat="1" ht="11.25" customHeight="1">
      <c r="D40" s="6701"/>
      <c r="E40" s="6697"/>
      <c r="F40" s="6702"/>
      <c r="G40" s="6615"/>
      <c r="H40" s="1514"/>
      <c r="I40" s="1518"/>
      <c r="J40" s="6703"/>
      <c r="K40" s="6703"/>
      <c r="L40" s="6703"/>
      <c r="M40" s="6703"/>
      <c r="N40" s="6703"/>
      <c r="O40" s="6703"/>
      <c r="P40" s="6703"/>
      <c r="Q40" s="6703"/>
      <c r="R40" s="6703"/>
      <c r="S40" s="6703"/>
      <c r="T40" s="6703"/>
      <c r="U40" s="6703"/>
      <c r="V40" s="6703"/>
      <c r="W40" s="6703"/>
      <c r="X40" s="6703"/>
      <c r="Y40" s="6703"/>
      <c r="Z40" s="6703"/>
      <c r="AA40" s="6703"/>
      <c r="AB40" s="6703"/>
      <c r="AC40" s="6703"/>
      <c r="AD40" s="6703"/>
      <c r="AE40" s="6703"/>
      <c r="AF40" s="6703"/>
      <c r="AG40" s="6703"/>
      <c r="AH40" s="6703"/>
      <c r="AI40" s="6704"/>
      <c r="AJ40" s="1490"/>
      <c r="AK40" s="226"/>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2042"/>
    <col min="2" max="2" width="11" style="2042" customWidth="1"/>
    <col min="3" max="3" width="10.5703125" style="2042"/>
    <col min="4" max="4" width="11.85546875" style="2042" customWidth="1"/>
    <col min="5" max="5" width="12.28515625" style="2042" customWidth="1"/>
    <col min="6" max="8" width="12.28515625" style="6571" customWidth="1"/>
    <col min="9" max="9" width="3.7109375" style="6571" customWidth="1"/>
    <col min="10" max="11" width="3.7109375" style="2075" customWidth="1"/>
    <col min="12" max="12" width="12.7109375" style="2076" customWidth="1"/>
    <col min="13" max="13" width="32" style="2042" customWidth="1"/>
    <col min="14" max="14" width="1.7109375" style="2042" customWidth="1"/>
    <col min="15" max="18" width="24.7109375" style="2042" customWidth="1"/>
    <col min="19" max="19" width="11.7109375" style="2042" customWidth="1"/>
    <col min="20" max="20" width="3.7109375" style="2042" customWidth="1"/>
    <col min="21" max="21" width="11.7109375" style="2042" customWidth="1"/>
    <col min="22" max="22" width="8.5703125" style="2042" customWidth="1"/>
    <col min="23" max="23" width="4.7109375" style="2042" customWidth="1"/>
    <col min="24" max="24" width="115.7109375" style="2042" customWidth="1"/>
    <col min="25" max="26" width="10.5703125" style="1817"/>
    <col min="27" max="27" width="11.140625" style="1817" customWidth="1"/>
    <col min="28" max="29" width="10.5703125" style="1817"/>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7013" t="s">
        <v>2254</v>
      </c>
      <c r="M5" s="7013"/>
      <c r="N5" s="7013"/>
      <c r="O5" s="7013"/>
      <c r="P5" s="7013"/>
      <c r="Q5" s="7013"/>
      <c r="R5" s="7013"/>
      <c r="S5" s="7013"/>
      <c r="T5" s="7013"/>
      <c r="U5" s="7013"/>
      <c r="V5" s="1152"/>
    </row>
    <row r="6" spans="6:29" ht="14.25" customHeight="1">
      <c r="J6" s="305"/>
      <c r="K6" s="305"/>
      <c r="L6" s="7014" t="str">
        <f>IF(org=0,"Не определено",org)</f>
        <v>ООО "Марикоммунэнерго"</v>
      </c>
      <c r="M6" s="7014"/>
      <c r="N6" s="7014"/>
      <c r="O6" s="7014"/>
      <c r="P6" s="7014"/>
      <c r="Q6" s="7014"/>
      <c r="R6" s="7014"/>
      <c r="S6" s="7014"/>
      <c r="T6" s="7014"/>
      <c r="U6" s="7014"/>
      <c r="V6" s="1152"/>
    </row>
    <row r="7" spans="6:29" ht="14.25" customHeight="1">
      <c r="J7" s="305"/>
      <c r="K7" s="305"/>
      <c r="L7" s="1195"/>
      <c r="M7" s="290"/>
      <c r="N7" s="290"/>
      <c r="O7" s="247"/>
      <c r="P7" s="247"/>
      <c r="Q7" s="247"/>
      <c r="R7" s="247"/>
      <c r="S7" s="247"/>
      <c r="T7" s="247"/>
      <c r="U7" s="247"/>
      <c r="V7" s="247"/>
      <c r="W7" s="435"/>
    </row>
    <row r="8" spans="6:29" s="2072" customFormat="1" ht="45" customHeight="1">
      <c r="F8" s="1158"/>
      <c r="G8" s="1158"/>
      <c r="H8" s="1158"/>
      <c r="L8" s="1196"/>
      <c r="M8" s="214" t="s">
        <v>38</v>
      </c>
      <c r="N8" s="223"/>
      <c r="O8" s="6756" t="str">
        <f>IF(TITLE_NAME_OR_PR_CHANGE="",IF(TITLE_NAME_OR_PR="","",TITLE_NAME_OR_PR),TITLE_NAME_OR_PR_CHANGE)</f>
        <v>Министерство промышленности, экономического развития и торговли Республики Марий Эл</v>
      </c>
      <c r="P8" s="6756"/>
      <c r="Q8" s="6756"/>
      <c r="R8" s="6756"/>
      <c r="S8" s="6756"/>
      <c r="T8" s="6756"/>
      <c r="U8" s="6756"/>
      <c r="V8" s="253"/>
      <c r="W8" s="253"/>
      <c r="X8" s="200"/>
      <c r="Y8" s="296"/>
      <c r="Z8" s="296"/>
      <c r="AA8" s="296"/>
      <c r="AB8" s="296"/>
      <c r="AC8" s="296"/>
    </row>
    <row r="9" spans="6:29" s="2072" customFormat="1" ht="22.5" customHeight="1">
      <c r="F9" s="1158"/>
      <c r="G9" s="1158"/>
      <c r="H9" s="1158"/>
      <c r="L9" s="1196"/>
      <c r="M9" s="214" t="s">
        <v>540</v>
      </c>
      <c r="N9" s="223"/>
      <c r="O9" s="6756">
        <f>IF(TITLE_DATE_CHANGE_PERIOD="",IF(TITLE_DATE_PR="","",TITLE_DATE_PR),TITLE_DATE_CHANGE_PERIOD)</f>
        <v>45280.426180555558</v>
      </c>
      <c r="P9" s="6756"/>
      <c r="Q9" s="6756"/>
      <c r="R9" s="6756"/>
      <c r="S9" s="6756"/>
      <c r="T9" s="6756"/>
      <c r="U9" s="6756"/>
      <c r="V9" s="253"/>
      <c r="W9" s="253"/>
      <c r="X9" s="200"/>
      <c r="Y9" s="296"/>
      <c r="Z9" s="296"/>
      <c r="AA9" s="296"/>
      <c r="AB9" s="296"/>
      <c r="AC9" s="296"/>
    </row>
    <row r="10" spans="6:29" s="2072" customFormat="1" ht="22.5" customHeight="1">
      <c r="F10" s="1158"/>
      <c r="G10" s="1158"/>
      <c r="H10" s="1158"/>
      <c r="L10" s="1160"/>
      <c r="M10" s="214" t="s">
        <v>541</v>
      </c>
      <c r="N10" s="223"/>
      <c r="O10" s="6756" t="str">
        <f>IF(TITLE_NUMBER_PR_CHANGE="",IF(TITLE_NUMBER_PR="","",TITLE_NUMBER_PR),TITLE_NUMBER_PR_CHANGE)</f>
        <v>124 т, 125 т, 126 т, 169 т</v>
      </c>
      <c r="P10" s="6756"/>
      <c r="Q10" s="6756"/>
      <c r="R10" s="6756"/>
      <c r="S10" s="6756"/>
      <c r="T10" s="6756"/>
      <c r="U10" s="6756"/>
      <c r="V10" s="253"/>
      <c r="W10" s="253"/>
      <c r="X10" s="200"/>
      <c r="Y10" s="296"/>
      <c r="Z10" s="296"/>
      <c r="AA10" s="296"/>
      <c r="AB10" s="296"/>
      <c r="AC10" s="296"/>
    </row>
    <row r="11" spans="6:29" s="2072" customFormat="1" ht="22.5" customHeight="1">
      <c r="F11" s="1158"/>
      <c r="G11" s="1158"/>
      <c r="H11" s="1158"/>
      <c r="L11" s="1160"/>
      <c r="M11" s="214" t="s">
        <v>40</v>
      </c>
      <c r="N11" s="223"/>
      <c r="O11" s="6756" t="str">
        <f>IF(TITLE_IST_PUB_CHANGE="",IF(TITLE_IST_PUB="","",TITLE_IST_PUB),TITLE_IST_PUB_CHANGE)</f>
        <v>портал Официальное опубликование нормативных правовых актов  Республики Марий Эл</v>
      </c>
      <c r="P11" s="6756"/>
      <c r="Q11" s="6756"/>
      <c r="R11" s="6756"/>
      <c r="S11" s="6756"/>
      <c r="T11" s="6756"/>
      <c r="U11" s="6756"/>
      <c r="V11" s="253"/>
      <c r="W11" s="253"/>
      <c r="X11" s="200"/>
      <c r="Y11" s="296"/>
      <c r="Z11" s="296"/>
      <c r="AA11" s="296"/>
      <c r="AB11" s="296"/>
      <c r="AC11" s="296"/>
    </row>
    <row r="12" spans="6:29" s="2072" customFormat="1" ht="11.25" hidden="1" customHeight="1">
      <c r="F12" s="1158"/>
      <c r="G12" s="1158"/>
      <c r="H12" s="1158"/>
      <c r="L12" s="7015"/>
      <c r="M12" s="7015"/>
      <c r="N12" s="1206"/>
      <c r="O12" s="253"/>
      <c r="P12" s="253"/>
      <c r="Q12" s="253"/>
      <c r="R12" s="253"/>
      <c r="S12" s="253"/>
      <c r="T12" s="253"/>
      <c r="U12" s="253"/>
      <c r="V12" s="198" t="s">
        <v>544</v>
      </c>
      <c r="Y12" s="296"/>
      <c r="Z12" s="296"/>
      <c r="AA12" s="296"/>
      <c r="AB12" s="296"/>
      <c r="AC12" s="296"/>
    </row>
    <row r="13" spans="6:29" ht="14.25" customHeight="1">
      <c r="J13" s="305"/>
      <c r="K13" s="305"/>
      <c r="L13" s="1195"/>
      <c r="M13" s="290"/>
      <c r="N13" s="1153"/>
      <c r="O13" s="6757"/>
      <c r="P13" s="6757"/>
      <c r="Q13" s="6757"/>
      <c r="R13" s="6757"/>
      <c r="S13" s="6757"/>
      <c r="T13" s="6757"/>
      <c r="U13" s="6757"/>
      <c r="V13" s="6757"/>
    </row>
    <row r="14" spans="6:29" ht="14.25" customHeight="1">
      <c r="J14" s="305"/>
      <c r="K14" s="305"/>
      <c r="L14" s="6629" t="s">
        <v>418</v>
      </c>
      <c r="M14" s="6629"/>
      <c r="N14" s="6629"/>
      <c r="O14" s="6629"/>
      <c r="P14" s="6629"/>
      <c r="Q14" s="6629"/>
      <c r="R14" s="6629"/>
      <c r="S14" s="6629"/>
      <c r="T14" s="6629"/>
      <c r="U14" s="6629"/>
      <c r="V14" s="6629"/>
      <c r="W14" s="6629"/>
      <c r="X14" s="6629" t="s">
        <v>419</v>
      </c>
    </row>
    <row r="15" spans="6:29" ht="14.25" customHeight="1">
      <c r="J15" s="305"/>
      <c r="K15" s="305"/>
      <c r="L15" s="6771" t="s">
        <v>87</v>
      </c>
      <c r="M15" s="6723" t="s">
        <v>545</v>
      </c>
      <c r="N15" s="220"/>
      <c r="O15" s="6772" t="s">
        <v>2255</v>
      </c>
      <c r="P15" s="6773"/>
      <c r="Q15" s="6773"/>
      <c r="R15" s="6773"/>
      <c r="S15" s="6773"/>
      <c r="T15" s="6773"/>
      <c r="U15" s="6774"/>
      <c r="V15" s="6775" t="s">
        <v>547</v>
      </c>
      <c r="W15" s="6778" t="s">
        <v>1183</v>
      </c>
      <c r="X15" s="6629"/>
    </row>
    <row r="16" spans="6:29" ht="33.75" customHeight="1">
      <c r="J16" s="305"/>
      <c r="K16" s="305"/>
      <c r="L16" s="6771"/>
      <c r="M16" s="6723"/>
      <c r="N16" s="938"/>
      <c r="O16" s="6693" t="s">
        <v>550</v>
      </c>
      <c r="P16" s="6693" t="s">
        <v>551</v>
      </c>
      <c r="Q16" s="6600" t="s">
        <v>552</v>
      </c>
      <c r="R16" s="6599"/>
      <c r="S16" s="6600" t="s">
        <v>565</v>
      </c>
      <c r="T16" s="6605"/>
      <c r="U16" s="6599"/>
      <c r="V16" s="6776"/>
      <c r="W16" s="6779"/>
      <c r="X16" s="6629"/>
    </row>
    <row r="17" spans="1:29" ht="33.75" customHeight="1">
      <c r="A17" s="1179" t="s">
        <v>200</v>
      </c>
      <c r="B17" s="1179" t="s">
        <v>201</v>
      </c>
      <c r="C17" s="1179" t="s">
        <v>202</v>
      </c>
      <c r="D17" s="1179" t="s">
        <v>203</v>
      </c>
      <c r="E17" s="1179"/>
      <c r="J17" s="305"/>
      <c r="K17" s="305"/>
      <c r="L17" s="6771"/>
      <c r="M17" s="6723"/>
      <c r="N17" s="221"/>
      <c r="O17" s="6742"/>
      <c r="P17" s="6742"/>
      <c r="Q17" s="1128" t="s">
        <v>561</v>
      </c>
      <c r="R17" s="1128" t="s">
        <v>562</v>
      </c>
      <c r="S17" s="1211" t="s">
        <v>563</v>
      </c>
      <c r="T17" s="6731" t="s">
        <v>564</v>
      </c>
      <c r="U17" s="6733"/>
      <c r="V17" s="6777"/>
      <c r="W17" s="6780"/>
      <c r="X17" s="6629"/>
    </row>
    <row r="18" spans="1:29" s="1816" customFormat="1" ht="11.25" customHeight="1">
      <c r="A18" s="1179"/>
      <c r="B18" s="1179"/>
      <c r="C18" s="1179"/>
      <c r="D18" s="1179"/>
      <c r="E18" s="1179"/>
      <c r="F18" s="1205"/>
      <c r="G18" s="1205"/>
      <c r="H18" s="1205"/>
      <c r="I18" s="1155"/>
      <c r="J18" s="1156"/>
      <c r="K18" s="1171">
        <v>1</v>
      </c>
      <c r="L18" s="1197" t="s">
        <v>178</v>
      </c>
      <c r="M18" s="1172" t="s">
        <v>98</v>
      </c>
      <c r="N18" s="1154" t="str">
        <f ca="1">OFFSET(N18,0,-1)</f>
        <v>2</v>
      </c>
      <c r="O18" s="1208">
        <f ca="1">OFFSET(O18,0,-1)+1</f>
        <v>3</v>
      </c>
      <c r="P18" s="1208"/>
      <c r="Q18" s="1208">
        <f ca="1">OFFSET(Q18,0,-1)+1</f>
        <v>1</v>
      </c>
      <c r="R18" s="1208">
        <f ca="1">OFFSET(R18,0,-1)+1</f>
        <v>2</v>
      </c>
      <c r="S18" s="1208">
        <f ca="1">OFFSET(S18,0,-1)+1</f>
        <v>3</v>
      </c>
      <c r="T18" s="6770">
        <f ca="1">OFFSET(T18,0,-1)+1</f>
        <v>4</v>
      </c>
      <c r="U18" s="6770"/>
      <c r="V18" s="1208">
        <f ca="1">OFFSET(V18,0,-2)+1</f>
        <v>5</v>
      </c>
      <c r="W18" s="1154">
        <f ca="1">OFFSET(W18,0,-1)</f>
        <v>5</v>
      </c>
      <c r="X18" s="1208">
        <f ca="1">OFFSET(X18,0,-1)+1</f>
        <v>6</v>
      </c>
      <c r="Y18" s="437"/>
      <c r="Z18" s="437"/>
      <c r="AA18" s="437"/>
      <c r="AB18" s="437"/>
      <c r="AC18" s="437"/>
    </row>
    <row r="19" spans="1:29" ht="21" customHeight="1">
      <c r="A19" s="1186" t="s">
        <v>2265</v>
      </c>
      <c r="B19" s="1186" t="s">
        <v>2266</v>
      </c>
      <c r="C19" s="1186" t="s">
        <v>2267</v>
      </c>
      <c r="D19" s="1186" t="s">
        <v>2268</v>
      </c>
      <c r="E19" s="1186"/>
      <c r="F19" s="608"/>
      <c r="G19" s="608"/>
      <c r="H19" s="608"/>
      <c r="I19" s="286"/>
      <c r="J19" s="285"/>
      <c r="K19" s="280"/>
      <c r="L19" s="1212" t="e">
        <f>INDEX(PT_DIFFERENTIATION_NUM_NTAR,MATCH(A19,PT_DIFFERENTIATION_NTAR_ID,0))</f>
        <v>#N/A</v>
      </c>
      <c r="M19" s="217" t="s">
        <v>189</v>
      </c>
      <c r="N19" s="219"/>
      <c r="O19" s="7016" t="e">
        <f>INDEX(PT_DIFFERENTIATION_NTAR,MATCH(A19,PT_DIFFERENTIATION_NTAR_ID,0))</f>
        <v>#N/A</v>
      </c>
      <c r="P19" s="7016"/>
      <c r="Q19" s="7016"/>
      <c r="R19" s="7016"/>
      <c r="S19" s="7016"/>
      <c r="T19" s="7016"/>
      <c r="U19" s="7016"/>
      <c r="V19" s="7016"/>
      <c r="W19" s="7016"/>
      <c r="X19" s="1177" t="s">
        <v>516</v>
      </c>
      <c r="Z19" s="426"/>
      <c r="AA19" s="426" t="str">
        <f t="shared" ref="AA19:AA32" si="0">IF(M19="","",M19)</f>
        <v>Наименование тарифа</v>
      </c>
      <c r="AB19" s="426"/>
      <c r="AC19" s="426"/>
    </row>
    <row r="20" spans="1:29" ht="21" customHeight="1">
      <c r="A20" s="1186" t="s">
        <v>2265</v>
      </c>
      <c r="B20" s="1186" t="s">
        <v>2266</v>
      </c>
      <c r="C20" s="1186" t="s">
        <v>2267</v>
      </c>
      <c r="D20" s="1186" t="s">
        <v>2268</v>
      </c>
      <c r="E20" s="1186"/>
      <c r="F20" s="608"/>
      <c r="G20" s="608"/>
      <c r="H20" s="608"/>
      <c r="I20" s="1209"/>
      <c r="J20" s="277"/>
      <c r="K20" s="278"/>
      <c r="L20" s="1212" t="e">
        <f>INDEX(PT_DIFFERENTIATION_NUM_TER,MATCH(B19,PT_DIFFERENTIATION_TER_ID,0))</f>
        <v>#N/A</v>
      </c>
      <c r="M20" s="229" t="s">
        <v>517</v>
      </c>
      <c r="N20" s="219"/>
      <c r="O20" s="7016" t="e">
        <f>INDEX(PT_DIFFERENTIATION_TER,MATCH(B19,PT_DIFFERENTIATION_TER_ID,0))</f>
        <v>#N/A</v>
      </c>
      <c r="P20" s="7016"/>
      <c r="Q20" s="7016"/>
      <c r="R20" s="7016"/>
      <c r="S20" s="7016"/>
      <c r="T20" s="7016"/>
      <c r="U20" s="7016"/>
      <c r="V20" s="7016"/>
      <c r="W20" s="7016"/>
      <c r="X20" s="1177" t="s">
        <v>518</v>
      </c>
      <c r="Z20" s="426"/>
      <c r="AA20" s="426" t="str">
        <f t="shared" si="0"/>
        <v>Территория действия тарифа</v>
      </c>
      <c r="AB20" s="426"/>
      <c r="AC20" s="426"/>
    </row>
    <row r="21" spans="1:29" ht="22.5" customHeight="1">
      <c r="A21" s="1186" t="s">
        <v>2265</v>
      </c>
      <c r="B21" s="1186" t="s">
        <v>2266</v>
      </c>
      <c r="C21" s="1186" t="s">
        <v>2267</v>
      </c>
      <c r="D21" s="1186" t="s">
        <v>2268</v>
      </c>
      <c r="E21" s="1186"/>
      <c r="F21" s="608"/>
      <c r="G21" s="608"/>
      <c r="H21" s="608"/>
      <c r="I21" s="279"/>
      <c r="J21" s="277"/>
      <c r="K21" s="278"/>
      <c r="L21" s="1212" t="e">
        <f>INDEX(PT_DIFFERENTIATION_NUM_CS,MATCH(C19,PT_DIFFERENTIATION_CS_ID,0))</f>
        <v>#N/A</v>
      </c>
      <c r="M21" s="230" t="s">
        <v>519</v>
      </c>
      <c r="N21" s="219"/>
      <c r="O21" s="7016" t="e">
        <f>INDEX(PT_DIFFERENTIATION_CS,MATCH(C19,PT_DIFFERENTIATION_CS_ID,0))</f>
        <v>#N/A</v>
      </c>
      <c r="P21" s="7016"/>
      <c r="Q21" s="7016"/>
      <c r="R21" s="7016"/>
      <c r="S21" s="7016"/>
      <c r="T21" s="7016"/>
      <c r="U21" s="7016"/>
      <c r="V21" s="7016"/>
      <c r="W21" s="7016"/>
      <c r="X21" s="1177" t="s">
        <v>520</v>
      </c>
      <c r="Z21" s="426"/>
      <c r="AA21" s="426" t="str">
        <f t="shared" si="0"/>
        <v xml:space="preserve">Наименование системы теплоснабжения </v>
      </c>
      <c r="AB21" s="426"/>
      <c r="AC21" s="426"/>
    </row>
    <row r="22" spans="1:29" ht="21" customHeight="1">
      <c r="A22" s="1186" t="s">
        <v>2265</v>
      </c>
      <c r="B22" s="1186" t="s">
        <v>2266</v>
      </c>
      <c r="C22" s="1186" t="s">
        <v>2267</v>
      </c>
      <c r="D22" s="1186" t="s">
        <v>2268</v>
      </c>
      <c r="E22" s="1186"/>
      <c r="F22" s="608"/>
      <c r="G22" s="608"/>
      <c r="H22" s="608"/>
      <c r="I22" s="279"/>
      <c r="J22" s="277"/>
      <c r="K22" s="278"/>
      <c r="L22" s="1212" t="e">
        <f>INDEX(PT_DIFFERENTIATION_NUM_IST_TE,MATCH(D19,PT_DIFFERENTIATION_IST_TE_ID,0))</f>
        <v>#N/A</v>
      </c>
      <c r="M22" s="231" t="s">
        <v>521</v>
      </c>
      <c r="N22" s="219"/>
      <c r="O22" s="7016" t="e">
        <f>INDEX(PT_DIFFERENTIATION_IST_TE,MATCH(D19,PT_DIFFERENTIATION_IST_TE_ID,0))</f>
        <v>#N/A</v>
      </c>
      <c r="P22" s="7016"/>
      <c r="Q22" s="7016"/>
      <c r="R22" s="7016"/>
      <c r="S22" s="7016"/>
      <c r="T22" s="7016"/>
      <c r="U22" s="7016"/>
      <c r="V22" s="7016"/>
      <c r="W22" s="7016"/>
      <c r="X22" s="1177" t="s">
        <v>522</v>
      </c>
      <c r="Z22" s="426"/>
      <c r="AA22" s="426" t="str">
        <f t="shared" si="0"/>
        <v xml:space="preserve">Источник тепловой энергии  </v>
      </c>
      <c r="AB22" s="426"/>
      <c r="AC22" s="426"/>
    </row>
    <row r="23" spans="1:29" ht="94.5" customHeight="1">
      <c r="A23" s="1186" t="s">
        <v>2265</v>
      </c>
      <c r="B23" s="1186" t="s">
        <v>2266</v>
      </c>
      <c r="C23" s="1186" t="s">
        <v>2267</v>
      </c>
      <c r="D23" s="1186" t="s">
        <v>2268</v>
      </c>
      <c r="E23" s="1186"/>
      <c r="F23" s="6603" t="e">
        <f>L22&amp;".1"</f>
        <v>#N/A</v>
      </c>
      <c r="I23" s="6762">
        <v>1</v>
      </c>
      <c r="J23" s="1210"/>
      <c r="K23" s="281"/>
      <c r="L23" s="1212" t="e">
        <f>$F$23</f>
        <v>#N/A</v>
      </c>
      <c r="M23" s="204" t="s">
        <v>524</v>
      </c>
      <c r="N23" s="219"/>
      <c r="O23" s="7017"/>
      <c r="P23" s="7017"/>
      <c r="Q23" s="7017"/>
      <c r="R23" s="7017"/>
      <c r="S23" s="7017"/>
      <c r="T23" s="7017"/>
      <c r="U23" s="7017"/>
      <c r="V23" s="7017"/>
      <c r="W23" s="7017"/>
      <c r="X23" s="1177" t="s">
        <v>525</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2265</v>
      </c>
      <c r="B24" s="1186" t="s">
        <v>2266</v>
      </c>
      <c r="C24" s="1186" t="s">
        <v>2267</v>
      </c>
      <c r="D24" s="1186" t="s">
        <v>2268</v>
      </c>
      <c r="E24" s="1186"/>
      <c r="F24" s="6603"/>
      <c r="G24" s="6603" t="e">
        <f>F23&amp;".1"</f>
        <v>#N/A</v>
      </c>
      <c r="I24" s="6762"/>
      <c r="J24" s="6762">
        <v>1</v>
      </c>
      <c r="K24" s="282"/>
      <c r="L24" s="1212" t="e">
        <f>$G$24</f>
        <v>#N/A</v>
      </c>
      <c r="M24" s="205" t="s">
        <v>527</v>
      </c>
      <c r="N24" s="219"/>
      <c r="O24" s="7018"/>
      <c r="P24" s="7019"/>
      <c r="Q24" s="7019"/>
      <c r="R24" s="7019"/>
      <c r="S24" s="7019"/>
      <c r="T24" s="7019"/>
      <c r="U24" s="7019"/>
      <c r="V24" s="7019"/>
      <c r="W24" s="7020"/>
      <c r="X24" s="1177" t="s">
        <v>528</v>
      </c>
      <c r="Z24" s="426"/>
      <c r="AA24" s="426" t="str">
        <f t="shared" si="0"/>
        <v>Группа потребителей</v>
      </c>
      <c r="AB24" s="426"/>
      <c r="AC24" s="426"/>
    </row>
    <row r="25" spans="1:29" ht="11.25" customHeight="1">
      <c r="A25" s="1186" t="s">
        <v>2265</v>
      </c>
      <c r="B25" s="1186" t="s">
        <v>2266</v>
      </c>
      <c r="C25" s="1186" t="s">
        <v>2267</v>
      </c>
      <c r="D25" s="1186" t="s">
        <v>2268</v>
      </c>
      <c r="E25" s="1186"/>
      <c r="F25" s="6603"/>
      <c r="G25" s="6603"/>
      <c r="H25" s="6603" t="e">
        <f>G24&amp;".1"</f>
        <v>#N/A</v>
      </c>
      <c r="I25" s="6762"/>
      <c r="J25" s="6762"/>
      <c r="K25" s="282">
        <v>1</v>
      </c>
      <c r="L25" s="1212" t="e">
        <f>$H$25</f>
        <v>#N/A</v>
      </c>
      <c r="M25" s="1178"/>
      <c r="N25" s="219"/>
      <c r="O25" s="668"/>
      <c r="P25" s="251"/>
      <c r="Q25" s="668"/>
      <c r="R25" s="1176"/>
      <c r="S25" s="6766"/>
      <c r="T25" s="6610" t="s">
        <v>61</v>
      </c>
      <c r="U25" s="6766"/>
      <c r="V25" s="6610" t="s">
        <v>56</v>
      </c>
      <c r="W25" s="251"/>
      <c r="X25" s="6758" t="s">
        <v>530</v>
      </c>
      <c r="Y25" s="437" t="e">
        <f ca="1">STRCHECKDATE(O26:W26)</f>
        <v>#NAME?</v>
      </c>
      <c r="Z25" s="426"/>
      <c r="AA25" s="426" t="str">
        <f t="shared" si="0"/>
        <v/>
      </c>
      <c r="AB25" s="426"/>
      <c r="AC25" s="426"/>
    </row>
    <row r="26" spans="1:29" ht="11.25" customHeight="1">
      <c r="A26" s="1186" t="s">
        <v>2265</v>
      </c>
      <c r="B26" s="1186" t="s">
        <v>2266</v>
      </c>
      <c r="C26" s="1186" t="s">
        <v>2267</v>
      </c>
      <c r="D26" s="1186" t="s">
        <v>2268</v>
      </c>
      <c r="E26" s="1186"/>
      <c r="F26" s="6603"/>
      <c r="G26" s="6603"/>
      <c r="H26" s="6603"/>
      <c r="I26" s="6762"/>
      <c r="J26" s="6762"/>
      <c r="K26" s="282"/>
      <c r="L26" s="1213"/>
      <c r="M26" s="219"/>
      <c r="N26" s="219"/>
      <c r="O26" s="251"/>
      <c r="P26" s="251"/>
      <c r="Q26" s="251"/>
      <c r="R26" s="255" t="str">
        <f>S25&amp;"-"&amp;U25</f>
        <v>-</v>
      </c>
      <c r="S26" s="6767"/>
      <c r="T26" s="6610"/>
      <c r="U26" s="6767"/>
      <c r="V26" s="6610"/>
      <c r="W26" s="251"/>
      <c r="X26" s="6759"/>
      <c r="Z26" s="426"/>
      <c r="AA26" s="426" t="str">
        <f t="shared" si="0"/>
        <v/>
      </c>
      <c r="AB26" s="426"/>
      <c r="AC26" s="426"/>
    </row>
    <row r="27" spans="1:29" ht="15" customHeight="1">
      <c r="A27" s="1186" t="s">
        <v>2265</v>
      </c>
      <c r="B27" s="1186" t="s">
        <v>2266</v>
      </c>
      <c r="C27" s="1186" t="s">
        <v>2267</v>
      </c>
      <c r="D27" s="1186" t="s">
        <v>2268</v>
      </c>
      <c r="E27" s="1186"/>
      <c r="F27" s="6603"/>
      <c r="G27" s="6603"/>
      <c r="I27" s="6762"/>
      <c r="J27" s="6762"/>
      <c r="K27" s="281"/>
      <c r="L27" s="1198"/>
      <c r="M27" s="207" t="s">
        <v>531</v>
      </c>
      <c r="N27" s="295"/>
      <c r="O27" s="295"/>
      <c r="P27" s="295"/>
      <c r="Q27" s="295"/>
      <c r="R27" s="295"/>
      <c r="S27" s="295"/>
      <c r="T27" s="295"/>
      <c r="U27" s="295"/>
      <c r="V27" s="295"/>
      <c r="W27" s="250"/>
      <c r="X27" s="6760"/>
      <c r="Z27" s="426"/>
      <c r="AA27" s="426" t="str">
        <f t="shared" si="0"/>
        <v>Добавить вид теплоносителя (параметры теплоносителя)</v>
      </c>
      <c r="AB27" s="426"/>
      <c r="AC27" s="426"/>
    </row>
    <row r="28" spans="1:29" ht="15" customHeight="1">
      <c r="A28" s="1186" t="s">
        <v>2265</v>
      </c>
      <c r="B28" s="1186" t="s">
        <v>2266</v>
      </c>
      <c r="C28" s="1186" t="s">
        <v>2267</v>
      </c>
      <c r="D28" s="1186" t="s">
        <v>2268</v>
      </c>
      <c r="E28" s="1186"/>
      <c r="F28" s="6603"/>
      <c r="I28" s="6762"/>
      <c r="J28" s="1210"/>
      <c r="K28" s="281"/>
      <c r="L28" s="1198"/>
      <c r="M28" s="206" t="s">
        <v>532</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2265</v>
      </c>
      <c r="B29" s="1186" t="s">
        <v>2266</v>
      </c>
      <c r="C29" s="1186" t="s">
        <v>2267</v>
      </c>
      <c r="D29" s="1186" t="s">
        <v>2268</v>
      </c>
      <c r="E29" s="1186"/>
      <c r="F29" s="608"/>
      <c r="G29" s="608"/>
      <c r="H29" s="435"/>
      <c r="I29" s="285"/>
      <c r="J29" s="304"/>
      <c r="K29" s="280"/>
      <c r="L29" s="1198"/>
      <c r="M29" s="292" t="s">
        <v>533</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2265</v>
      </c>
      <c r="B30" s="1186" t="s">
        <v>2266</v>
      </c>
      <c r="C30" s="1186" t="s">
        <v>2267</v>
      </c>
      <c r="D30" s="1186"/>
      <c r="E30" s="1186" t="s">
        <v>703</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2265</v>
      </c>
      <c r="B31" s="1186" t="s">
        <v>2266</v>
      </c>
      <c r="C31" s="1186"/>
      <c r="D31" s="1186"/>
      <c r="E31" s="1186" t="s">
        <v>2256</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2269</v>
      </c>
      <c r="B32" s="1186"/>
      <c r="C32" s="1186"/>
      <c r="D32" s="1186"/>
      <c r="E32" s="1186" t="s">
        <v>173</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6550" customFormat="1" ht="11.25" customHeight="1">
      <c r="A33" s="1186"/>
      <c r="B33" s="1186"/>
      <c r="C33" s="1186"/>
      <c r="D33" s="1186"/>
      <c r="E33" s="1186" t="s">
        <v>273</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835</v>
      </c>
      <c r="M35" s="6783" t="s">
        <v>2258</v>
      </c>
      <c r="N35" s="6783"/>
      <c r="O35" s="6783"/>
      <c r="P35" s="6783"/>
      <c r="Q35" s="6783"/>
      <c r="R35" s="6783"/>
      <c r="S35" s="6783"/>
      <c r="T35" s="6783"/>
      <c r="U35" s="6783"/>
      <c r="V35" s="6783"/>
      <c r="W35" s="6783"/>
      <c r="X35" s="6783"/>
    </row>
    <row r="36" spans="1:29" ht="104.25" customHeight="1">
      <c r="F36" s="1222"/>
      <c r="G36" s="1222"/>
      <c r="H36" s="435"/>
      <c r="I36" s="1222"/>
      <c r="M36" s="6783" t="s">
        <v>2259</v>
      </c>
      <c r="N36" s="6783"/>
      <c r="O36" s="6783"/>
      <c r="P36" s="6783"/>
      <c r="Q36" s="6783"/>
      <c r="R36" s="6783"/>
      <c r="S36" s="6783"/>
      <c r="T36" s="6783"/>
      <c r="U36" s="6783"/>
      <c r="V36" s="6783"/>
      <c r="W36" s="6783"/>
      <c r="X36" s="6783"/>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7"/>
    <col min="7" max="8" width="9.140625" style="5169" customWidth="1"/>
    <col min="9" max="9" width="3.7109375" style="2074" customWidth="1"/>
    <col min="10" max="11" width="3.7109375" style="2075" customWidth="1"/>
    <col min="12" max="12" width="12.7109375" style="2042" customWidth="1"/>
    <col min="13" max="13" width="47.42578125" style="2042" customWidth="1"/>
    <col min="14" max="14" width="2.7109375" style="2042" hidden="1" customWidth="1"/>
    <col min="15" max="18" width="23.7109375" style="2042" customWidth="1"/>
    <col min="19" max="19" width="11.7109375" style="2042" customWidth="1"/>
    <col min="20" max="20" width="3.7109375" style="2042" customWidth="1"/>
    <col min="21" max="21" width="11.7109375" style="2042" customWidth="1"/>
    <col min="22" max="22" width="8.5703125" style="2042" hidden="1" customWidth="1"/>
    <col min="23" max="23" width="4.7109375" style="2042" customWidth="1"/>
    <col min="24" max="24" width="115.7109375" style="2042" customWidth="1"/>
    <col min="25" max="29" width="10.5703125" style="1817"/>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7021" t="s">
        <v>2270</v>
      </c>
      <c r="M5" s="7021"/>
      <c r="N5" s="7021"/>
      <c r="O5" s="7021"/>
      <c r="P5" s="7021"/>
      <c r="Q5" s="7021"/>
      <c r="R5" s="7021"/>
      <c r="S5" s="7021"/>
      <c r="T5" s="7021"/>
      <c r="U5" s="196"/>
      <c r="V5" s="196"/>
    </row>
    <row r="6" spans="1:29" ht="14.25" customHeight="1">
      <c r="J6" s="305"/>
      <c r="K6" s="305"/>
      <c r="L6" s="290"/>
      <c r="M6" s="290"/>
      <c r="N6" s="290"/>
      <c r="O6" s="247"/>
      <c r="P6" s="247"/>
      <c r="Q6" s="247"/>
      <c r="R6" s="247"/>
      <c r="S6" s="247"/>
      <c r="T6" s="247"/>
      <c r="U6" s="290"/>
    </row>
    <row r="7" spans="1:29" s="2072" customFormat="1" ht="22.5" customHeight="1">
      <c r="A7" s="296"/>
      <c r="B7" s="296"/>
      <c r="C7" s="296"/>
      <c r="D7" s="296"/>
      <c r="E7" s="296"/>
      <c r="F7" s="296"/>
      <c r="G7" s="296"/>
      <c r="H7" s="296"/>
      <c r="L7" s="197"/>
      <c r="M7" s="214" t="s">
        <v>38</v>
      </c>
      <c r="N7" s="223"/>
      <c r="O7" s="7022" t="e">
        <f>IF(NameOrPr_ch="",IF(NameOrPr="","",NameOrPr),NameOrPr_ch)</f>
        <v>#NAME?</v>
      </c>
      <c r="P7" s="7023"/>
      <c r="Q7" s="7023"/>
      <c r="R7" s="7023"/>
      <c r="S7" s="7023"/>
      <c r="T7" s="7024"/>
      <c r="U7" s="1157"/>
      <c r="Y7" s="296"/>
      <c r="Z7" s="296"/>
      <c r="AA7" s="296"/>
      <c r="AB7" s="296"/>
      <c r="AC7" s="296"/>
    </row>
    <row r="8" spans="1:29" s="2072" customFormat="1" ht="18.75" customHeight="1">
      <c r="A8" s="296"/>
      <c r="B8" s="296"/>
      <c r="C8" s="296"/>
      <c r="D8" s="296"/>
      <c r="E8" s="296"/>
      <c r="F8" s="296"/>
      <c r="G8" s="296"/>
      <c r="H8" s="296"/>
      <c r="L8" s="197"/>
      <c r="M8" s="214" t="s">
        <v>540</v>
      </c>
      <c r="N8" s="223"/>
      <c r="O8" s="7022" t="e">
        <f>IF(datePr_ch="",IF(datePr="","",datePr),datePr_ch)</f>
        <v>#NAME?</v>
      </c>
      <c r="P8" s="7023"/>
      <c r="Q8" s="7023"/>
      <c r="R8" s="7023"/>
      <c r="S8" s="7023"/>
      <c r="T8" s="7024"/>
      <c r="U8" s="1157"/>
      <c r="Y8" s="296"/>
      <c r="Z8" s="296"/>
      <c r="AA8" s="296"/>
      <c r="AB8" s="296"/>
      <c r="AC8" s="296"/>
    </row>
    <row r="9" spans="1:29" s="2072" customFormat="1" ht="18.75" customHeight="1">
      <c r="A9" s="296"/>
      <c r="B9" s="296"/>
      <c r="C9" s="296"/>
      <c r="D9" s="296"/>
      <c r="E9" s="296"/>
      <c r="F9" s="296"/>
      <c r="G9" s="296"/>
      <c r="H9" s="296"/>
      <c r="L9" s="249"/>
      <c r="M9" s="214" t="s">
        <v>541</v>
      </c>
      <c r="N9" s="223"/>
      <c r="O9" s="7022" t="e">
        <f>IF(numberPr_ch="",IF(numberPr="","",numberPr),numberPr_ch)</f>
        <v>#NAME?</v>
      </c>
      <c r="P9" s="7023"/>
      <c r="Q9" s="7023"/>
      <c r="R9" s="7023"/>
      <c r="S9" s="7023"/>
      <c r="T9" s="7024"/>
      <c r="U9" s="1157"/>
      <c r="Y9" s="296"/>
      <c r="Z9" s="296"/>
      <c r="AA9" s="296"/>
      <c r="AB9" s="296"/>
      <c r="AC9" s="296"/>
    </row>
    <row r="10" spans="1:29" s="2072" customFormat="1" ht="18.75" customHeight="1">
      <c r="A10" s="296"/>
      <c r="B10" s="296"/>
      <c r="C10" s="296"/>
      <c r="D10" s="296"/>
      <c r="E10" s="296"/>
      <c r="F10" s="296"/>
      <c r="G10" s="296"/>
      <c r="H10" s="296"/>
      <c r="L10" s="249"/>
      <c r="M10" s="214" t="s">
        <v>40</v>
      </c>
      <c r="N10" s="223"/>
      <c r="O10" s="7022" t="e">
        <f>IF(IstPub_ch="",IF(IstPub="","",IstPub),IstPub_ch)</f>
        <v>#NAME?</v>
      </c>
      <c r="P10" s="7023"/>
      <c r="Q10" s="7023"/>
      <c r="R10" s="7023"/>
      <c r="S10" s="7023"/>
      <c r="T10" s="7024"/>
      <c r="U10" s="1157"/>
      <c r="Y10" s="296"/>
      <c r="Z10" s="296"/>
      <c r="AA10" s="296"/>
      <c r="AB10" s="296"/>
      <c r="AC10" s="296"/>
    </row>
    <row r="11" spans="1:29" s="1851" customFormat="1" ht="18.75" hidden="1" customHeight="1">
      <c r="A11" s="1161"/>
      <c r="B11" s="1161"/>
      <c r="C11" s="1161"/>
      <c r="D11" s="1161"/>
      <c r="E11" s="1161"/>
      <c r="F11" s="1161"/>
      <c r="G11" s="1161"/>
      <c r="H11" s="1161"/>
      <c r="L11" s="249"/>
      <c r="M11" s="246"/>
      <c r="O11" s="1162"/>
      <c r="P11" s="1162"/>
      <c r="Q11" s="296" t="s">
        <v>2271</v>
      </c>
      <c r="R11" s="296" t="s">
        <v>2272</v>
      </c>
      <c r="S11" s="1162"/>
      <c r="T11" s="1162"/>
      <c r="U11" s="1157"/>
      <c r="Y11" s="1161"/>
      <c r="Z11" s="1161"/>
      <c r="AA11" s="1161"/>
      <c r="AB11" s="1161"/>
      <c r="AC11" s="1161"/>
    </row>
    <row r="12" spans="1:29" s="2072" customFormat="1" ht="11.25" hidden="1" customHeight="1">
      <c r="A12" s="296"/>
      <c r="B12" s="296"/>
      <c r="C12" s="296"/>
      <c r="D12" s="296"/>
      <c r="E12" s="296"/>
      <c r="F12" s="296"/>
      <c r="G12" s="296"/>
      <c r="H12" s="296"/>
      <c r="L12" s="7015"/>
      <c r="M12" s="7015"/>
      <c r="N12" s="1124"/>
      <c r="O12" s="253"/>
      <c r="P12" s="253"/>
      <c r="Q12" s="253"/>
      <c r="R12" s="253"/>
      <c r="S12" s="253"/>
      <c r="T12" s="253"/>
      <c r="U12" s="1160"/>
      <c r="V12" s="198" t="s">
        <v>544</v>
      </c>
      <c r="Y12" s="296"/>
      <c r="Z12" s="296"/>
      <c r="AA12" s="296"/>
      <c r="AB12" s="296"/>
      <c r="AC12" s="296"/>
    </row>
    <row r="13" spans="1:29" ht="14.25" customHeight="1">
      <c r="J13" s="305"/>
      <c r="K13" s="305"/>
      <c r="L13" s="290"/>
      <c r="M13" s="290"/>
      <c r="N13" s="290"/>
      <c r="O13" s="1163"/>
      <c r="P13" s="1163"/>
      <c r="Q13" s="7025"/>
      <c r="R13" s="7025"/>
      <c r="S13" s="7025"/>
      <c r="T13" s="7025"/>
      <c r="U13" s="7025"/>
      <c r="V13" s="7025"/>
    </row>
    <row r="14" spans="1:29" ht="14.25" customHeight="1">
      <c r="J14" s="305"/>
      <c r="K14" s="305"/>
      <c r="L14" s="6629" t="s">
        <v>418</v>
      </c>
      <c r="M14" s="6629"/>
      <c r="N14" s="6629"/>
      <c r="O14" s="6629"/>
      <c r="P14" s="6629"/>
      <c r="Q14" s="6629"/>
      <c r="R14" s="6629"/>
      <c r="S14" s="6629"/>
      <c r="T14" s="6629"/>
      <c r="U14" s="6629"/>
      <c r="V14" s="6629"/>
      <c r="W14" s="6629"/>
      <c r="X14" s="6629" t="s">
        <v>419</v>
      </c>
    </row>
    <row r="15" spans="1:29" ht="14.25" customHeight="1">
      <c r="J15" s="305"/>
      <c r="K15" s="305"/>
      <c r="L15" s="6723" t="s">
        <v>87</v>
      </c>
      <c r="M15" s="6723" t="s">
        <v>2273</v>
      </c>
      <c r="N15" s="1123"/>
      <c r="O15" s="6723" t="s">
        <v>2274</v>
      </c>
      <c r="P15" s="6722" t="s">
        <v>2275</v>
      </c>
      <c r="Q15" s="6722" t="s">
        <v>2255</v>
      </c>
      <c r="R15" s="6722"/>
      <c r="S15" s="6722"/>
      <c r="T15" s="6722"/>
      <c r="U15" s="6722"/>
      <c r="V15" s="6723" t="s">
        <v>547</v>
      </c>
      <c r="W15" s="7026" t="s">
        <v>1183</v>
      </c>
      <c r="X15" s="6629"/>
    </row>
    <row r="16" spans="1:29" ht="25.5" customHeight="1">
      <c r="J16" s="305"/>
      <c r="K16" s="305"/>
      <c r="L16" s="6723"/>
      <c r="M16" s="6723"/>
      <c r="N16" s="1123"/>
      <c r="O16" s="6723"/>
      <c r="P16" s="6722"/>
      <c r="Q16" s="6722" t="s">
        <v>2276</v>
      </c>
      <c r="R16" s="6722"/>
      <c r="S16" s="6629" t="s">
        <v>565</v>
      </c>
      <c r="T16" s="6629"/>
      <c r="U16" s="6629"/>
      <c r="V16" s="6723"/>
      <c r="W16" s="7026"/>
      <c r="X16" s="6629"/>
    </row>
    <row r="17" spans="1:29" ht="14.25" customHeight="1">
      <c r="J17" s="305"/>
      <c r="K17" s="305"/>
      <c r="L17" s="6723"/>
      <c r="M17" s="6723"/>
      <c r="N17" s="1123"/>
      <c r="O17" s="6723"/>
      <c r="P17" s="6722"/>
      <c r="Q17" s="1123" t="s">
        <v>598</v>
      </c>
      <c r="R17" s="1123" t="s">
        <v>599</v>
      </c>
      <c r="S17" s="1127" t="s">
        <v>563</v>
      </c>
      <c r="T17" s="6657" t="s">
        <v>564</v>
      </c>
      <c r="U17" s="6657"/>
      <c r="V17" s="6723"/>
      <c r="W17" s="7026"/>
      <c r="X17" s="6629"/>
    </row>
    <row r="18" spans="1:29" ht="14.25" customHeight="1">
      <c r="J18" s="305"/>
      <c r="K18" s="210">
        <v>1</v>
      </c>
      <c r="L18" s="380" t="s">
        <v>178</v>
      </c>
      <c r="M18" s="380" t="s">
        <v>98</v>
      </c>
      <c r="N18" s="1159" t="s">
        <v>98</v>
      </c>
      <c r="O18" s="1125">
        <f t="shared" ref="O18:T18" ca="1" si="0">OFFSET(O18,0,-1)+1</f>
        <v>3</v>
      </c>
      <c r="P18" s="1125">
        <f t="shared" ca="1" si="0"/>
        <v>4</v>
      </c>
      <c r="Q18" s="1125">
        <f t="shared" ca="1" si="0"/>
        <v>5</v>
      </c>
      <c r="R18" s="1125">
        <f t="shared" ca="1" si="0"/>
        <v>6</v>
      </c>
      <c r="S18" s="1125">
        <f t="shared" ca="1" si="0"/>
        <v>7</v>
      </c>
      <c r="T18" s="7027">
        <f t="shared" ca="1" si="0"/>
        <v>8</v>
      </c>
      <c r="U18" s="7027"/>
      <c r="V18" s="1125">
        <f ca="1">OFFSET(V18,0,-2)+1</f>
        <v>9</v>
      </c>
      <c r="X18" s="1125">
        <f ca="1">OFFSET(X18,0,-2)+1</f>
        <v>10</v>
      </c>
    </row>
    <row r="19" spans="1:29" ht="22.5" customHeight="1">
      <c r="A19" s="6762">
        <v>1</v>
      </c>
      <c r="B19" s="444"/>
      <c r="C19" s="444"/>
      <c r="D19" s="444"/>
      <c r="E19" s="444"/>
      <c r="F19" s="444"/>
      <c r="G19" s="312"/>
      <c r="H19" s="312"/>
      <c r="I19" s="286"/>
      <c r="J19" s="305"/>
      <c r="K19" s="305"/>
      <c r="L19" s="1132" t="e">
        <f ca="1">MERGEVALUE(A19)</f>
        <v>#NAME?</v>
      </c>
      <c r="M19" s="217" t="s">
        <v>189</v>
      </c>
      <c r="N19" s="236"/>
      <c r="O19" s="6941"/>
      <c r="P19" s="6941"/>
      <c r="Q19" s="6941"/>
      <c r="R19" s="6941"/>
      <c r="S19" s="6941"/>
      <c r="T19" s="6941"/>
      <c r="U19" s="6941"/>
      <c r="V19" s="6941"/>
      <c r="W19" s="6941"/>
      <c r="X19" s="271" t="s">
        <v>516</v>
      </c>
    </row>
    <row r="20" spans="1:29" ht="22.5" customHeight="1">
      <c r="A20" s="6762"/>
      <c r="B20" s="6762">
        <v>1</v>
      </c>
      <c r="C20" s="444"/>
      <c r="D20" s="444"/>
      <c r="E20" s="444"/>
      <c r="F20" s="444"/>
      <c r="G20" s="314"/>
      <c r="H20" s="1126"/>
      <c r="I20" s="288"/>
      <c r="J20" s="1133"/>
      <c r="K20" s="1055"/>
      <c r="L20" s="1132" t="e">
        <f ca="1">MERGEVALUE(A20)&amp;"."&amp;MERGEVALUE(B20)</f>
        <v>#NAME?</v>
      </c>
      <c r="M20" s="229" t="s">
        <v>517</v>
      </c>
      <c r="N20" s="236"/>
      <c r="O20" s="6941"/>
      <c r="P20" s="6941"/>
      <c r="Q20" s="6941"/>
      <c r="R20" s="6941"/>
      <c r="S20" s="6941"/>
      <c r="T20" s="6941"/>
      <c r="U20" s="6941"/>
      <c r="V20" s="6941"/>
      <c r="W20" s="6941"/>
      <c r="X20" s="271" t="s">
        <v>518</v>
      </c>
    </row>
    <row r="21" spans="1:29" ht="22.5" customHeight="1">
      <c r="A21" s="6762"/>
      <c r="B21" s="6762"/>
      <c r="C21" s="6762">
        <v>1</v>
      </c>
      <c r="D21" s="444"/>
      <c r="E21" s="444"/>
      <c r="F21" s="444"/>
      <c r="G21" s="314"/>
      <c r="H21" s="1126"/>
      <c r="I21" s="289"/>
      <c r="J21" s="1133"/>
      <c r="K21" s="1055"/>
      <c r="L21" s="1132" t="e">
        <f ca="1">MERGEVALUE(A21)&amp;"."&amp;MERGEVALUE(B21)&amp;"."&amp;MERGEVALUE(C21)</f>
        <v>#NAME?</v>
      </c>
      <c r="M21" s="230" t="s">
        <v>519</v>
      </c>
      <c r="N21" s="236"/>
      <c r="O21" s="6941"/>
      <c r="P21" s="6941"/>
      <c r="Q21" s="6941"/>
      <c r="R21" s="6941"/>
      <c r="S21" s="6941"/>
      <c r="T21" s="6941"/>
      <c r="U21" s="6941"/>
      <c r="V21" s="6941"/>
      <c r="W21" s="6941"/>
      <c r="X21" s="271" t="s">
        <v>520</v>
      </c>
    </row>
    <row r="22" spans="1:29" ht="14.25" customHeight="1">
      <c r="A22" s="6762"/>
      <c r="B22" s="6762"/>
      <c r="C22" s="6762"/>
      <c r="D22" s="6762">
        <v>1</v>
      </c>
      <c r="E22" s="444"/>
      <c r="F22" s="444"/>
      <c r="G22" s="314"/>
      <c r="H22" s="1126"/>
      <c r="I22" s="289"/>
      <c r="J22" s="287"/>
      <c r="K22" s="1055"/>
      <c r="L22" s="1132" t="e">
        <f ca="1">MERGEVALUE(A22)&amp;"."&amp;MERGEVALUE(B22)&amp;"."&amp;MERGEVALUE(C22)&amp;"."&amp;MERGEVALUE(D22)</f>
        <v>#NAME?</v>
      </c>
      <c r="M22" s="231" t="s">
        <v>521</v>
      </c>
      <c r="N22" s="236"/>
      <c r="O22" s="6941"/>
      <c r="P22" s="6941"/>
      <c r="Q22" s="6941"/>
      <c r="R22" s="6941"/>
      <c r="S22" s="6941"/>
      <c r="T22" s="6941"/>
      <c r="U22" s="6941"/>
      <c r="V22" s="6941"/>
      <c r="W22" s="6941"/>
      <c r="X22" s="264" t="s">
        <v>2277</v>
      </c>
    </row>
    <row r="23" spans="1:29" ht="22.5" customHeight="1">
      <c r="A23" s="6762"/>
      <c r="B23" s="6762"/>
      <c r="C23" s="6762"/>
      <c r="D23" s="6762"/>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3"/>
      <c r="T23" s="1122" t="s">
        <v>56</v>
      </c>
      <c r="U23" s="1165"/>
      <c r="V23" s="1122" t="s">
        <v>56</v>
      </c>
      <c r="W23" s="1166"/>
      <c r="X23" s="6676" t="s">
        <v>2278</v>
      </c>
      <c r="Y23" s="437" t="e">
        <f ca="1">STRCHECKDATETWO(N23:W23)</f>
        <v>#NAME?</v>
      </c>
    </row>
    <row r="24" spans="1:29" ht="14.25" hidden="1" customHeight="1">
      <c r="A24" s="6762"/>
      <c r="B24" s="6762"/>
      <c r="C24" s="6762"/>
      <c r="D24" s="6762"/>
      <c r="E24" s="444"/>
      <c r="F24" s="444"/>
      <c r="G24" s="314"/>
      <c r="H24" s="1126"/>
      <c r="I24" s="289"/>
      <c r="J24" s="287"/>
      <c r="K24" s="382"/>
      <c r="L24" s="1131"/>
      <c r="M24" s="232"/>
      <c r="N24" s="219"/>
      <c r="O24" s="219"/>
      <c r="P24" s="219"/>
      <c r="Q24" s="219"/>
      <c r="R24" s="255" t="str">
        <f>S23&amp;"-"&amp;U23</f>
        <v>-</v>
      </c>
      <c r="S24" s="240"/>
      <c r="T24" s="237"/>
      <c r="U24" s="240"/>
      <c r="V24" s="219"/>
      <c r="W24" s="1167"/>
      <c r="X24" s="6677"/>
    </row>
    <row r="25" spans="1:29" ht="14.25" customHeight="1">
      <c r="A25" s="6762"/>
      <c r="B25" s="6762"/>
      <c r="C25" s="6762"/>
      <c r="D25" s="6762"/>
      <c r="E25" s="444"/>
      <c r="F25" s="444"/>
      <c r="G25" s="314"/>
      <c r="H25" s="1126"/>
      <c r="I25" s="289"/>
      <c r="J25" s="287"/>
      <c r="K25" s="382"/>
      <c r="L25" s="228"/>
      <c r="M25" s="292" t="s">
        <v>586</v>
      </c>
      <c r="N25" s="291"/>
      <c r="O25" s="248"/>
      <c r="P25" s="248"/>
      <c r="Q25" s="248"/>
      <c r="R25" s="248"/>
      <c r="S25" s="252"/>
      <c r="T25" s="295"/>
      <c r="U25" s="294"/>
      <c r="V25" s="291"/>
      <c r="W25" s="291"/>
      <c r="X25" s="6678"/>
    </row>
    <row r="26" spans="1:29" s="6550" customFormat="1" ht="14.25" customHeight="1">
      <c r="A26" s="6762"/>
      <c r="B26" s="6762"/>
      <c r="C26" s="6762"/>
      <c r="D26" s="313"/>
      <c r="E26" s="313"/>
      <c r="F26" s="313"/>
      <c r="G26" s="314"/>
      <c r="H26" s="313"/>
      <c r="I26" s="289"/>
      <c r="J26" s="304"/>
      <c r="K26" s="306"/>
      <c r="L26" s="228"/>
      <c r="M26" s="300" t="s">
        <v>703</v>
      </c>
      <c r="N26" s="291"/>
      <c r="O26" s="248"/>
      <c r="P26" s="248"/>
      <c r="Q26" s="248"/>
      <c r="R26" s="248"/>
      <c r="S26" s="252"/>
      <c r="T26" s="295"/>
      <c r="U26" s="294"/>
      <c r="V26" s="291"/>
      <c r="W26" s="295"/>
      <c r="X26" s="1168"/>
      <c r="Y26" s="311"/>
      <c r="Z26" s="311"/>
      <c r="AA26" s="311"/>
      <c r="AB26" s="311"/>
      <c r="AC26" s="311"/>
    </row>
    <row r="27" spans="1:29" s="6550" customFormat="1" ht="14.25" customHeight="1">
      <c r="A27" s="6762"/>
      <c r="B27" s="6762"/>
      <c r="C27" s="313"/>
      <c r="D27" s="313"/>
      <c r="E27" s="313"/>
      <c r="F27" s="313"/>
      <c r="G27" s="314"/>
      <c r="H27" s="313"/>
      <c r="I27" s="285"/>
      <c r="J27" s="304"/>
      <c r="K27" s="306"/>
      <c r="L27" s="228"/>
      <c r="M27" s="291" t="s">
        <v>2256</v>
      </c>
      <c r="N27" s="291"/>
      <c r="O27" s="248"/>
      <c r="P27" s="248"/>
      <c r="Q27" s="248"/>
      <c r="R27" s="248"/>
      <c r="S27" s="252"/>
      <c r="T27" s="295"/>
      <c r="U27" s="294"/>
      <c r="V27" s="291"/>
      <c r="W27" s="295"/>
      <c r="X27" s="250"/>
      <c r="Y27" s="311"/>
      <c r="Z27" s="311"/>
      <c r="AA27" s="311"/>
      <c r="AB27" s="311"/>
      <c r="AC27" s="311"/>
    </row>
    <row r="28" spans="1:29" s="6550" customFormat="1" ht="14.25" customHeight="1">
      <c r="A28" s="6762"/>
      <c r="B28" s="313"/>
      <c r="C28" s="313"/>
      <c r="D28" s="313"/>
      <c r="E28" s="313"/>
      <c r="F28" s="313"/>
      <c r="G28" s="314"/>
      <c r="H28" s="313"/>
      <c r="I28" s="285"/>
      <c r="J28" s="304"/>
      <c r="K28" s="306"/>
      <c r="L28" s="228"/>
      <c r="M28" s="349" t="s">
        <v>173</v>
      </c>
      <c r="N28" s="291"/>
      <c r="O28" s="248"/>
      <c r="P28" s="248"/>
      <c r="Q28" s="248"/>
      <c r="R28" s="248"/>
      <c r="S28" s="252"/>
      <c r="T28" s="295"/>
      <c r="U28" s="294"/>
      <c r="V28" s="291"/>
      <c r="W28" s="295"/>
      <c r="X28" s="250"/>
      <c r="Y28" s="311"/>
      <c r="Z28" s="311"/>
      <c r="AA28" s="311"/>
      <c r="AB28" s="311"/>
      <c r="AC28" s="311"/>
    </row>
    <row r="29" spans="1:29" s="6550" customFormat="1" ht="14.25" customHeight="1">
      <c r="G29" s="293"/>
      <c r="H29" s="306"/>
      <c r="I29" s="303"/>
      <c r="J29" s="304"/>
      <c r="L29" s="228"/>
      <c r="M29" s="350" t="s">
        <v>273</v>
      </c>
      <c r="N29" s="291"/>
      <c r="O29" s="248"/>
      <c r="P29" s="248"/>
      <c r="Q29" s="248"/>
      <c r="R29" s="248"/>
      <c r="S29" s="252"/>
      <c r="T29" s="295"/>
      <c r="U29" s="294"/>
      <c r="V29" s="291"/>
      <c r="W29" s="295"/>
      <c r="X29" s="250"/>
      <c r="Y29" s="311"/>
      <c r="Z29" s="311"/>
      <c r="AA29" s="311"/>
      <c r="AB29" s="311"/>
      <c r="AC29" s="311"/>
    </row>
    <row r="31" spans="1:29" ht="14.25" customHeight="1">
      <c r="L31" s="2">
        <v>1</v>
      </c>
      <c r="M31" s="6783" t="s">
        <v>2279</v>
      </c>
      <c r="N31" s="6783"/>
      <c r="O31" s="6783"/>
      <c r="P31" s="6783"/>
      <c r="Q31" s="6783"/>
      <c r="R31" s="6783"/>
      <c r="S31" s="6783"/>
      <c r="T31" s="6783"/>
      <c r="U31" s="6783"/>
      <c r="V31" s="6783"/>
      <c r="W31" s="6783"/>
      <c r="X31" s="6783"/>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2046" hidden="1" customWidth="1"/>
    <col min="2" max="2" width="15" style="2048" hidden="1" customWidth="1"/>
    <col min="3" max="3" width="3.7109375" style="2050" customWidth="1"/>
    <col min="4" max="4" width="6.85546875" style="2051" customWidth="1"/>
    <col min="5" max="5" width="52.28515625" style="2050" customWidth="1"/>
    <col min="6" max="6" width="48.85546875" style="2050" customWidth="1"/>
    <col min="7" max="7" width="121.7109375" style="2050" customWidth="1"/>
    <col min="8" max="8" width="9.140625" style="2050"/>
    <col min="9" max="9" width="65" style="2050" customWidth="1"/>
  </cols>
  <sheetData>
    <row r="1" spans="1:9" ht="11.25" hidden="1" customHeight="1">
      <c r="A1" s="1596" t="s">
        <v>417</v>
      </c>
    </row>
    <row r="2" spans="1:9" ht="11.25" hidden="1" customHeight="1"/>
    <row r="3" spans="1:9" s="2047" customFormat="1" ht="11.25" customHeight="1">
      <c r="A3" s="1596"/>
      <c r="B3" s="427"/>
      <c r="D3" s="404"/>
    </row>
    <row r="4" spans="1:9" ht="25.5" customHeight="1">
      <c r="D4" s="666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6663"/>
      <c r="F4" s="6664"/>
      <c r="I4" s="634"/>
    </row>
    <row r="5" spans="1:9" ht="17.25" customHeight="1">
      <c r="D5" s="6694" t="str">
        <f>IF(org=0,"Не определено",org)</f>
        <v>ООО "Марикоммунэнерго"</v>
      </c>
      <c r="E5" s="6694"/>
      <c r="F5" s="6694"/>
      <c r="I5" s="634"/>
    </row>
    <row r="6" spans="1:9" s="2047" customFormat="1" ht="11.25" customHeight="1">
      <c r="A6" s="1596"/>
      <c r="B6" s="427"/>
      <c r="D6" s="633"/>
      <c r="E6" s="633"/>
      <c r="F6" s="669"/>
      <c r="G6" s="633"/>
    </row>
    <row r="7" spans="1:9" ht="11.25" hidden="1" customHeight="1">
      <c r="A7" s="385"/>
      <c r="B7" s="428"/>
      <c r="C7" s="385"/>
      <c r="D7" s="390"/>
      <c r="E7" s="6721"/>
      <c r="F7" s="6721"/>
    </row>
    <row r="8" spans="1:9" ht="11.25" customHeight="1">
      <c r="A8" s="385"/>
      <c r="B8" s="428"/>
      <c r="C8" s="385"/>
      <c r="D8" s="6717" t="s">
        <v>418</v>
      </c>
      <c r="E8" s="6718"/>
      <c r="F8" s="6718"/>
      <c r="G8" s="6722" t="s">
        <v>419</v>
      </c>
    </row>
    <row r="9" spans="1:9" ht="11.25" customHeight="1">
      <c r="A9" s="385"/>
      <c r="B9" s="428"/>
      <c r="C9" s="385"/>
      <c r="D9" s="399" t="s">
        <v>87</v>
      </c>
      <c r="E9" s="378" t="s">
        <v>420</v>
      </c>
      <c r="F9" s="378" t="s">
        <v>421</v>
      </c>
      <c r="G9" s="6723"/>
    </row>
    <row r="10" spans="1:9" ht="12" hidden="1" customHeight="1">
      <c r="A10" s="385"/>
      <c r="B10" s="428"/>
      <c r="C10" s="385"/>
      <c r="D10" s="391"/>
      <c r="E10" s="391"/>
      <c r="F10" s="391"/>
      <c r="G10" s="391"/>
    </row>
    <row r="11" spans="1:9" ht="22.5" hidden="1" customHeight="1">
      <c r="A11" s="385"/>
      <c r="B11" s="428"/>
      <c r="C11" s="385"/>
      <c r="D11" s="916" t="s">
        <v>178</v>
      </c>
      <c r="E11" s="919" t="s">
        <v>422</v>
      </c>
      <c r="F11" s="918" t="str">
        <f>IF(region_name="","",region_name)</f>
        <v>Республика Марий Эл</v>
      </c>
      <c r="G11" s="919" t="s">
        <v>423</v>
      </c>
      <c r="H11" s="402"/>
    </row>
    <row r="12" spans="1:9" ht="22.5" hidden="1" customHeight="1">
      <c r="A12" s="385"/>
      <c r="B12" s="428"/>
      <c r="C12" s="385"/>
      <c r="D12" s="377" t="s">
        <v>178</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424</v>
      </c>
      <c r="G12" s="401"/>
      <c r="H12" s="402"/>
    </row>
    <row r="13" spans="1:9" ht="22.5" customHeight="1">
      <c r="A13" s="385"/>
      <c r="B13" s="428"/>
      <c r="C13" s="385"/>
      <c r="D13" s="377" t="s">
        <v>178</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425</v>
      </c>
      <c r="E14" s="917" t="s">
        <v>426</v>
      </c>
      <c r="F14" s="918" t="str">
        <f>IF(inn="","",inn)</f>
        <v>1215126037</v>
      </c>
      <c r="G14" s="919" t="s">
        <v>427</v>
      </c>
      <c r="H14" s="402"/>
    </row>
    <row r="15" spans="1:9" ht="22.5" hidden="1" customHeight="1">
      <c r="A15" s="385"/>
      <c r="B15" s="428"/>
      <c r="C15" s="385"/>
      <c r="D15" s="916" t="s">
        <v>428</v>
      </c>
      <c r="E15" s="917" t="s">
        <v>429</v>
      </c>
      <c r="F15" s="918" t="str">
        <f>IF(kpp="","",kpp)</f>
        <v>121501001</v>
      </c>
      <c r="G15" s="919" t="s">
        <v>430</v>
      </c>
      <c r="H15" s="402"/>
    </row>
    <row r="16" spans="1:9" ht="36.75" customHeight="1">
      <c r="A16" s="385"/>
      <c r="B16" s="428"/>
      <c r="C16" s="385"/>
      <c r="D16" s="377" t="s">
        <v>98</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1"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6719">
        <v>1</v>
      </c>
      <c r="B19" s="428"/>
      <c r="C19" s="6724"/>
      <c r="D19" s="372">
        <v>5</v>
      </c>
      <c r="E19" s="374" t="s">
        <v>431</v>
      </c>
      <c r="F19" s="375" t="s">
        <v>424</v>
      </c>
      <c r="G19" s="376" t="s">
        <v>432</v>
      </c>
      <c r="H19" s="402"/>
      <c r="I19" s="765"/>
    </row>
    <row r="20" spans="1:9" ht="33.75" hidden="1" customHeight="1">
      <c r="A20" s="6719"/>
      <c r="B20" s="428"/>
      <c r="C20" s="6724"/>
      <c r="D20" s="377" t="s">
        <v>433</v>
      </c>
      <c r="E20" s="371" t="s">
        <v>434</v>
      </c>
      <c r="F20" s="794" t="s">
        <v>24</v>
      </c>
      <c r="G20" s="401"/>
      <c r="H20" s="402"/>
      <c r="I20" s="765"/>
    </row>
    <row r="21" spans="1:9" ht="22.5" hidden="1" customHeight="1">
      <c r="A21" s="6719"/>
      <c r="B21" s="428"/>
      <c r="C21" s="6724"/>
      <c r="D21" s="377" t="s">
        <v>435</v>
      </c>
      <c r="E21" s="371" t="s">
        <v>436</v>
      </c>
      <c r="F21" s="1642" t="s">
        <v>24</v>
      </c>
      <c r="G21" s="376" t="s">
        <v>437</v>
      </c>
      <c r="H21" s="402"/>
      <c r="I21" s="765"/>
    </row>
    <row r="22" spans="1:9" ht="22.5" hidden="1" customHeight="1">
      <c r="A22" s="6719"/>
      <c r="B22" s="428"/>
      <c r="C22" s="6724"/>
      <c r="D22" s="377" t="s">
        <v>438</v>
      </c>
      <c r="E22" s="371" t="s">
        <v>439</v>
      </c>
      <c r="F22" s="794" t="s">
        <v>24</v>
      </c>
      <c r="G22" s="401"/>
      <c r="H22" s="402"/>
      <c r="I22" s="765"/>
    </row>
    <row r="23" spans="1:9" ht="22.5" hidden="1" customHeight="1">
      <c r="A23" s="6719"/>
      <c r="B23" s="428"/>
      <c r="C23" s="6724"/>
      <c r="D23" s="377" t="s">
        <v>440</v>
      </c>
      <c r="E23" s="371" t="s">
        <v>441</v>
      </c>
      <c r="F23" s="794" t="s">
        <v>24</v>
      </c>
      <c r="G23" s="376" t="s">
        <v>442</v>
      </c>
      <c r="H23" s="402"/>
      <c r="I23" s="765"/>
    </row>
    <row r="24" spans="1:9" s="2048" customFormat="1" ht="24.75" hidden="1" customHeight="1">
      <c r="A24" s="385"/>
      <c r="B24" s="428"/>
      <c r="C24" s="428"/>
      <c r="D24" s="913" t="s">
        <v>89</v>
      </c>
      <c r="E24" s="915" t="s">
        <v>443</v>
      </c>
      <c r="F24" s="920" t="s">
        <v>424</v>
      </c>
      <c r="G24" s="915"/>
    </row>
    <row r="25" spans="1:9" s="2048" customFormat="1" ht="11.25" hidden="1" customHeight="1">
      <c r="A25" s="385"/>
      <c r="B25" s="428"/>
      <c r="C25" s="428"/>
      <c r="D25" s="913" t="s">
        <v>444</v>
      </c>
      <c r="E25" s="914" t="s">
        <v>445</v>
      </c>
      <c r="F25" s="920" t="s">
        <v>424</v>
      </c>
      <c r="G25" s="915"/>
    </row>
    <row r="26" spans="1:9" s="2048" customFormat="1" ht="11.25" hidden="1" customHeight="1">
      <c r="A26" s="385"/>
      <c r="B26" s="428"/>
      <c r="C26" s="428"/>
      <c r="D26" s="913" t="s">
        <v>446</v>
      </c>
      <c r="E26" s="921" t="s">
        <v>447</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2048" customFormat="1" ht="11.25" hidden="1" customHeight="1">
      <c r="A27" s="385"/>
      <c r="B27" s="428"/>
      <c r="C27" s="428"/>
      <c r="D27" s="913" t="s">
        <v>448</v>
      </c>
      <c r="E27" s="921" t="s">
        <v>449</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2048" customFormat="1" ht="11.25" hidden="1" customHeight="1">
      <c r="A28" s="385"/>
      <c r="B28" s="428"/>
      <c r="C28" s="428"/>
      <c r="D28" s="913" t="s">
        <v>450</v>
      </c>
      <c r="E28" s="921" t="s">
        <v>451</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2048" customFormat="1" ht="11.25" hidden="1" customHeight="1">
      <c r="A29" s="385"/>
      <c r="B29" s="428"/>
      <c r="C29" s="428"/>
      <c r="D29" s="913" t="s">
        <v>452</v>
      </c>
      <c r="E29" s="914" t="s">
        <v>453</v>
      </c>
      <c r="F29" s="922"/>
      <c r="G29" s="915"/>
    </row>
    <row r="30" spans="1:9" s="2048" customFormat="1" ht="11.25" hidden="1" customHeight="1">
      <c r="A30" s="385"/>
      <c r="B30" s="428"/>
      <c r="C30" s="428"/>
      <c r="D30" s="913" t="s">
        <v>454</v>
      </c>
      <c r="E30" s="914" t="s">
        <v>455</v>
      </c>
      <c r="F30" s="922"/>
      <c r="G30" s="915"/>
    </row>
    <row r="31" spans="1:9" s="2048" customFormat="1" ht="11.25" hidden="1" customHeight="1">
      <c r="A31" s="385"/>
      <c r="B31" s="428"/>
      <c r="C31" s="428"/>
      <c r="D31" s="913" t="s">
        <v>456</v>
      </c>
      <c r="E31" s="914" t="s">
        <v>457</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424</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458</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458</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424</v>
      </c>
      <c r="G38" s="67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1"/>
      <c r="F39" s="794"/>
      <c r="G39" s="6726"/>
      <c r="H39" s="402"/>
    </row>
    <row r="40" spans="1:8" ht="22.5" customHeight="1">
      <c r="A40" s="385"/>
      <c r="B40" s="385"/>
      <c r="C40" s="1598"/>
      <c r="D40" s="372" t="str">
        <f>D38&amp;".1"</f>
        <v>9.1</v>
      </c>
      <c r="E40" s="773"/>
      <c r="F40" s="774"/>
      <c r="G40" s="6726"/>
      <c r="H40" s="402"/>
    </row>
    <row r="41" spans="1:8" ht="15" customHeight="1">
      <c r="A41" s="385"/>
      <c r="B41" s="428"/>
      <c r="C41" s="385"/>
      <c r="D41" s="394"/>
      <c r="E41" s="349" t="s">
        <v>459</v>
      </c>
      <c r="F41" s="396"/>
      <c r="G41" s="6727"/>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460</v>
      </c>
      <c r="H43" s="402"/>
    </row>
    <row r="44" spans="1:8" ht="22.5" customHeight="1">
      <c r="A44" s="385"/>
      <c r="B44" s="428"/>
      <c r="C44" s="385"/>
      <c r="D44" s="372">
        <f>D43+1</f>
        <v>12</v>
      </c>
      <c r="E44" s="370" t="s">
        <v>461</v>
      </c>
      <c r="F44" s="375" t="s">
        <v>424</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4"/>
      <c r="G45" s="369" t="s">
        <v>462</v>
      </c>
      <c r="H45" s="402"/>
    </row>
    <row r="46" spans="1:8" ht="22.5" customHeight="1">
      <c r="A46" s="6715"/>
      <c r="B46" s="428"/>
      <c r="C46" s="418"/>
      <c r="D46" s="372" t="str">
        <f>D44&amp;".2"</f>
        <v>12.2</v>
      </c>
      <c r="E46" s="374" t="s">
        <v>463</v>
      </c>
      <c r="F46" s="416"/>
      <c r="G46" s="369" t="s">
        <v>464</v>
      </c>
      <c r="H46" s="402"/>
    </row>
    <row r="47" spans="1:8" ht="22.5" customHeight="1">
      <c r="A47" s="6715"/>
      <c r="B47" s="428"/>
      <c r="C47" s="418"/>
      <c r="D47" s="372" t="str">
        <f>D44&amp;".3"</f>
        <v>12.3</v>
      </c>
      <c r="E47" s="374" t="s">
        <v>465</v>
      </c>
      <c r="F47" s="416"/>
      <c r="G47" s="369" t="s">
        <v>466</v>
      </c>
      <c r="H47" s="402"/>
    </row>
    <row r="48" spans="1:8" ht="22.5" customHeight="1">
      <c r="A48" s="6715"/>
      <c r="B48" s="428"/>
      <c r="C48" s="418"/>
      <c r="D48" s="372" t="str">
        <f>IF(TEMPLATE_SPHERE="TKO",D44&amp;".0",D44&amp;".4")</f>
        <v>12.4</v>
      </c>
      <c r="E48" s="368" t="s">
        <v>467</v>
      </c>
      <c r="F48" s="1595"/>
      <c r="G48" s="1670" t="s">
        <v>468</v>
      </c>
      <c r="H48" s="402"/>
    </row>
    <row r="49" spans="1:9" ht="22.5" customHeight="1">
      <c r="A49" s="385"/>
      <c r="B49" s="428"/>
      <c r="C49" s="385"/>
      <c r="D49" s="394"/>
      <c r="E49" s="349" t="s">
        <v>469</v>
      </c>
      <c r="F49" s="395"/>
      <c r="G49" s="1670" t="s">
        <v>470</v>
      </c>
      <c r="H49" s="403"/>
    </row>
    <row r="50" spans="1:9" ht="22.5" customHeight="1">
      <c r="A50" s="771"/>
      <c r="B50" s="428"/>
      <c r="C50" s="418"/>
      <c r="D50" s="372">
        <f>D44+1</f>
        <v>13</v>
      </c>
      <c r="E50" s="454" t="s">
        <v>471</v>
      </c>
      <c r="F50" s="416"/>
      <c r="G50" s="159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2049" customFormat="1" ht="30" customHeight="1">
      <c r="A52" s="1597"/>
      <c r="B52" s="429"/>
      <c r="C52" s="6716"/>
      <c r="D52" s="672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6720"/>
      <c r="F52" s="6720"/>
      <c r="G52" s="6720"/>
      <c r="H52" s="384"/>
      <c r="I52" s="384"/>
    </row>
    <row r="53" spans="1:9" s="2049" customFormat="1" ht="39.75" customHeight="1">
      <c r="A53" s="385"/>
      <c r="B53" s="428"/>
      <c r="C53" s="6716"/>
      <c r="D53" s="672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6720"/>
      <c r="F53" s="6720"/>
      <c r="G53" s="6720"/>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2280</v>
      </c>
      <c r="B1" s="681" t="s">
        <v>2281</v>
      </c>
      <c r="C1" s="7028" t="s">
        <v>2282</v>
      </c>
      <c r="D1" s="7029"/>
      <c r="E1" s="753" t="s">
        <v>2283</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1779</v>
      </c>
      <c r="C4" s="670"/>
      <c r="D4" s="681"/>
      <c r="E4" s="753"/>
    </row>
    <row r="5" spans="1:5" ht="11.25" customHeight="1">
      <c r="A5" s="698"/>
      <c r="B5" s="683" t="s">
        <v>1773</v>
      </c>
      <c r="C5" s="673" t="s">
        <v>2019</v>
      </c>
      <c r="D5" s="793" t="s">
        <v>2284</v>
      </c>
      <c r="E5" s="753"/>
    </row>
    <row r="6" spans="1:5" s="6550" customFormat="1" ht="11.25" customHeight="1">
      <c r="A6" s="684"/>
      <c r="B6" s="683" t="s">
        <v>1783</v>
      </c>
      <c r="C6" s="670"/>
      <c r="D6" s="681"/>
      <c r="E6" s="753"/>
    </row>
    <row r="7" spans="1:5" ht="11.25" customHeight="1">
      <c r="A7" s="672"/>
      <c r="B7" s="683" t="s">
        <v>1791</v>
      </c>
      <c r="C7" s="670"/>
      <c r="D7" s="681"/>
      <c r="E7" s="753"/>
    </row>
    <row r="8" spans="1:5" ht="11.25" customHeight="1">
      <c r="A8" s="673"/>
      <c r="B8" s="683" t="s">
        <v>1786</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47"/>
  <sheetViews>
    <sheetView showGridLines="0" workbookViewId="0"/>
  </sheetViews>
  <sheetFormatPr defaultColWidth="9.140625" defaultRowHeight="11.25" customHeight="1"/>
  <cols>
    <col min="1" max="2" width="9.140625" style="6573"/>
    <col min="3" max="3" width="20.7109375" style="6573" customWidth="1"/>
    <col min="4" max="4" width="25.140625" style="6573" customWidth="1"/>
    <col min="5" max="9" width="9.140625" style="6573"/>
  </cols>
  <sheetData>
    <row r="1" spans="1:9" ht="11.25" customHeight="1">
      <c r="A1" s="5" t="s">
        <v>2285</v>
      </c>
      <c r="B1" s="5" t="s">
        <v>2286</v>
      </c>
      <c r="C1" s="5" t="s">
        <v>2287</v>
      </c>
      <c r="D1" s="5" t="s">
        <v>2288</v>
      </c>
      <c r="E1" s="5" t="s">
        <v>2289</v>
      </c>
      <c r="F1" s="5" t="s">
        <v>2290</v>
      </c>
      <c r="G1" s="5" t="s">
        <v>2291</v>
      </c>
      <c r="H1" s="5" t="s">
        <v>2292</v>
      </c>
      <c r="I1" s="5" t="s">
        <v>2293</v>
      </c>
    </row>
    <row r="2" spans="1:9" ht="11.25" customHeight="1">
      <c r="A2" s="6574" t="s">
        <v>2294</v>
      </c>
      <c r="B2" s="6574" t="s">
        <v>14</v>
      </c>
      <c r="C2" s="6574" t="s">
        <v>2295</v>
      </c>
      <c r="D2" s="6574" t="s">
        <v>2296</v>
      </c>
      <c r="E2" s="6574" t="s">
        <v>2297</v>
      </c>
      <c r="F2" s="6574" t="s">
        <v>2298</v>
      </c>
      <c r="G2" s="6574" t="s">
        <v>24</v>
      </c>
      <c r="H2" s="6574" t="s">
        <v>24</v>
      </c>
      <c r="I2" s="6574" t="s">
        <v>839</v>
      </c>
    </row>
    <row r="3" spans="1:9" ht="11.25" customHeight="1">
      <c r="A3" s="6574" t="s">
        <v>2294</v>
      </c>
      <c r="B3" s="6574" t="s">
        <v>14</v>
      </c>
      <c r="C3" s="6574" t="s">
        <v>2299</v>
      </c>
      <c r="D3" s="6574" t="s">
        <v>2296</v>
      </c>
      <c r="E3" s="6574" t="s">
        <v>2297</v>
      </c>
      <c r="F3" s="6574" t="s">
        <v>2300</v>
      </c>
      <c r="G3" s="6574" t="s">
        <v>24</v>
      </c>
      <c r="H3" s="6574" t="s">
        <v>24</v>
      </c>
      <c r="I3" s="6574" t="s">
        <v>839</v>
      </c>
    </row>
    <row r="4" spans="1:9" ht="11.25" customHeight="1">
      <c r="A4" s="6574" t="s">
        <v>2294</v>
      </c>
      <c r="B4" s="6574" t="s">
        <v>14</v>
      </c>
      <c r="C4" s="6574" t="s">
        <v>2301</v>
      </c>
      <c r="D4" s="6574" t="s">
        <v>2302</v>
      </c>
      <c r="E4" s="6574" t="s">
        <v>2303</v>
      </c>
      <c r="F4" s="6574" t="s">
        <v>50</v>
      </c>
      <c r="G4" s="6574" t="s">
        <v>24</v>
      </c>
      <c r="H4" s="6574" t="s">
        <v>24</v>
      </c>
      <c r="I4" s="6574" t="s">
        <v>839</v>
      </c>
    </row>
    <row r="5" spans="1:9" ht="11.25" customHeight="1">
      <c r="A5" s="6574" t="s">
        <v>2294</v>
      </c>
      <c r="B5" s="6574" t="s">
        <v>14</v>
      </c>
      <c r="C5" s="6574" t="s">
        <v>2304</v>
      </c>
      <c r="D5" s="6574" t="s">
        <v>2305</v>
      </c>
      <c r="E5" s="6574" t="s">
        <v>2306</v>
      </c>
      <c r="F5" s="6574" t="s">
        <v>2307</v>
      </c>
      <c r="G5" s="6574" t="s">
        <v>24</v>
      </c>
      <c r="H5" s="6574" t="s">
        <v>24</v>
      </c>
      <c r="I5" s="6574" t="s">
        <v>839</v>
      </c>
    </row>
    <row r="6" spans="1:9" ht="11.25" customHeight="1">
      <c r="A6" s="6574" t="s">
        <v>2294</v>
      </c>
      <c r="B6" s="6574" t="s">
        <v>14</v>
      </c>
      <c r="C6" s="6574" t="s">
        <v>2308</v>
      </c>
      <c r="D6" s="6574" t="s">
        <v>2309</v>
      </c>
      <c r="E6" s="6574" t="s">
        <v>2310</v>
      </c>
      <c r="F6" s="6574" t="s">
        <v>50</v>
      </c>
      <c r="G6" s="6574" t="s">
        <v>24</v>
      </c>
      <c r="H6" s="6574" t="s">
        <v>2311</v>
      </c>
      <c r="I6" s="6574" t="s">
        <v>839</v>
      </c>
    </row>
    <row r="7" spans="1:9" ht="11.25" customHeight="1">
      <c r="A7" s="6574" t="s">
        <v>2294</v>
      </c>
      <c r="B7" s="6574" t="s">
        <v>14</v>
      </c>
      <c r="C7" s="6574" t="s">
        <v>2312</v>
      </c>
      <c r="D7" s="6574" t="s">
        <v>2313</v>
      </c>
      <c r="E7" s="6574" t="s">
        <v>2314</v>
      </c>
      <c r="F7" s="6574" t="s">
        <v>2315</v>
      </c>
      <c r="G7" s="6574" t="s">
        <v>24</v>
      </c>
      <c r="H7" s="6574" t="s">
        <v>24</v>
      </c>
      <c r="I7" s="6574" t="s">
        <v>839</v>
      </c>
    </row>
    <row r="8" spans="1:9" ht="11.25" customHeight="1">
      <c r="A8" s="6574" t="s">
        <v>2294</v>
      </c>
      <c r="B8" s="6574" t="s">
        <v>14</v>
      </c>
      <c r="C8" s="6574" t="s">
        <v>2316</v>
      </c>
      <c r="D8" s="6574" t="s">
        <v>2317</v>
      </c>
      <c r="E8" s="6574" t="s">
        <v>2318</v>
      </c>
      <c r="F8" s="6574" t="s">
        <v>2315</v>
      </c>
      <c r="G8" s="6574" t="s">
        <v>2319</v>
      </c>
      <c r="H8" s="6574" t="s">
        <v>2320</v>
      </c>
      <c r="I8" s="6574" t="s">
        <v>839</v>
      </c>
    </row>
    <row r="9" spans="1:9" ht="11.25" customHeight="1">
      <c r="A9" s="6574" t="s">
        <v>2294</v>
      </c>
      <c r="B9" s="6574" t="s">
        <v>14</v>
      </c>
      <c r="C9" s="6574" t="s">
        <v>24</v>
      </c>
      <c r="D9" s="6574" t="s">
        <v>2321</v>
      </c>
      <c r="E9" s="6574" t="s">
        <v>2322</v>
      </c>
      <c r="F9" s="6574" t="s">
        <v>50</v>
      </c>
      <c r="G9" s="6574" t="s">
        <v>24</v>
      </c>
      <c r="H9" s="6574" t="s">
        <v>24</v>
      </c>
      <c r="I9" s="6574" t="s">
        <v>839</v>
      </c>
    </row>
    <row r="10" spans="1:9" ht="11.25" customHeight="1">
      <c r="A10" s="6574" t="s">
        <v>2294</v>
      </c>
      <c r="B10" s="6574" t="s">
        <v>14</v>
      </c>
      <c r="C10" s="6574" t="s">
        <v>2323</v>
      </c>
      <c r="D10" s="6574" t="s">
        <v>2324</v>
      </c>
      <c r="E10" s="6574" t="s">
        <v>2325</v>
      </c>
      <c r="F10" s="6574" t="s">
        <v>2326</v>
      </c>
      <c r="G10" s="6574" t="s">
        <v>2327</v>
      </c>
      <c r="H10" s="6574" t="s">
        <v>24</v>
      </c>
      <c r="I10" s="6574" t="s">
        <v>839</v>
      </c>
    </row>
    <row r="11" spans="1:9" ht="11.25" customHeight="1">
      <c r="A11" s="6574" t="s">
        <v>2294</v>
      </c>
      <c r="B11" s="6574" t="s">
        <v>14</v>
      </c>
      <c r="C11" s="6574" t="s">
        <v>2328</v>
      </c>
      <c r="D11" s="6574" t="s">
        <v>2329</v>
      </c>
      <c r="E11" s="6574" t="s">
        <v>2330</v>
      </c>
      <c r="F11" s="6574" t="s">
        <v>2331</v>
      </c>
      <c r="G11" s="6574" t="s">
        <v>24</v>
      </c>
      <c r="H11" s="6574" t="s">
        <v>24</v>
      </c>
      <c r="I11" s="6574" t="s">
        <v>839</v>
      </c>
    </row>
    <row r="12" spans="1:9" ht="11.25" customHeight="1">
      <c r="A12" s="6574" t="s">
        <v>2294</v>
      </c>
      <c r="B12" s="6574" t="s">
        <v>14</v>
      </c>
      <c r="C12" s="6574" t="s">
        <v>2332</v>
      </c>
      <c r="D12" s="6574" t="s">
        <v>2333</v>
      </c>
      <c r="E12" s="6574" t="s">
        <v>2334</v>
      </c>
      <c r="F12" s="6574" t="s">
        <v>2335</v>
      </c>
      <c r="G12" s="6574" t="s">
        <v>2336</v>
      </c>
      <c r="H12" s="6574" t="s">
        <v>24</v>
      </c>
      <c r="I12" s="6574" t="s">
        <v>839</v>
      </c>
    </row>
    <row r="13" spans="1:9" ht="11.25" customHeight="1">
      <c r="A13" s="6574" t="s">
        <v>2294</v>
      </c>
      <c r="B13" s="6574" t="s">
        <v>14</v>
      </c>
      <c r="C13" s="6574" t="s">
        <v>2337</v>
      </c>
      <c r="D13" s="6574" t="s">
        <v>2338</v>
      </c>
      <c r="E13" s="6574" t="s">
        <v>2339</v>
      </c>
      <c r="F13" s="6574" t="s">
        <v>50</v>
      </c>
      <c r="G13" s="6574" t="s">
        <v>2340</v>
      </c>
      <c r="H13" s="6574" t="s">
        <v>24</v>
      </c>
      <c r="I13" s="6574" t="s">
        <v>839</v>
      </c>
    </row>
    <row r="14" spans="1:9" ht="11.25" customHeight="1">
      <c r="A14" s="6574" t="s">
        <v>2294</v>
      </c>
      <c r="B14" s="6574" t="s">
        <v>14</v>
      </c>
      <c r="C14" s="6574" t="s">
        <v>2341</v>
      </c>
      <c r="D14" s="6574" t="s">
        <v>2342</v>
      </c>
      <c r="E14" s="6574" t="s">
        <v>2343</v>
      </c>
      <c r="F14" s="6574" t="s">
        <v>2344</v>
      </c>
      <c r="G14" s="6574" t="s">
        <v>2345</v>
      </c>
      <c r="H14" s="6574" t="s">
        <v>24</v>
      </c>
      <c r="I14" s="6574" t="s">
        <v>839</v>
      </c>
    </row>
    <row r="15" spans="1:9" ht="11.25" customHeight="1">
      <c r="A15" s="6574" t="s">
        <v>2294</v>
      </c>
      <c r="B15" s="6574" t="s">
        <v>14</v>
      </c>
      <c r="C15" s="6574" t="s">
        <v>2346</v>
      </c>
      <c r="D15" s="6574" t="s">
        <v>2347</v>
      </c>
      <c r="E15" s="6574" t="s">
        <v>2348</v>
      </c>
      <c r="F15" s="6574" t="s">
        <v>50</v>
      </c>
      <c r="G15" s="6574" t="s">
        <v>2349</v>
      </c>
      <c r="H15" s="6574" t="s">
        <v>24</v>
      </c>
      <c r="I15" s="6574" t="s">
        <v>839</v>
      </c>
    </row>
    <row r="16" spans="1:9" ht="11.25" customHeight="1">
      <c r="A16" s="6574" t="s">
        <v>2294</v>
      </c>
      <c r="B16" s="6574" t="s">
        <v>14</v>
      </c>
      <c r="C16" s="6574" t="s">
        <v>2350</v>
      </c>
      <c r="D16" s="6574" t="s">
        <v>2351</v>
      </c>
      <c r="E16" s="6574" t="s">
        <v>2352</v>
      </c>
      <c r="F16" s="6574" t="s">
        <v>2353</v>
      </c>
      <c r="G16" s="6574" t="s">
        <v>2354</v>
      </c>
      <c r="H16" s="6574" t="s">
        <v>24</v>
      </c>
      <c r="I16" s="6574" t="s">
        <v>839</v>
      </c>
    </row>
    <row r="17" spans="1:9" ht="11.25" customHeight="1">
      <c r="A17" s="6574" t="s">
        <v>2294</v>
      </c>
      <c r="B17" s="6574" t="s">
        <v>14</v>
      </c>
      <c r="C17" s="6574" t="s">
        <v>2355</v>
      </c>
      <c r="D17" s="6574" t="s">
        <v>2356</v>
      </c>
      <c r="E17" s="6574" t="s">
        <v>2357</v>
      </c>
      <c r="F17" s="6574" t="s">
        <v>2358</v>
      </c>
      <c r="G17" s="6574" t="s">
        <v>24</v>
      </c>
      <c r="H17" s="6574" t="s">
        <v>24</v>
      </c>
      <c r="I17" s="6574" t="s">
        <v>839</v>
      </c>
    </row>
    <row r="18" spans="1:9" ht="11.25" customHeight="1">
      <c r="A18" s="6574" t="s">
        <v>2294</v>
      </c>
      <c r="B18" s="6574" t="s">
        <v>14</v>
      </c>
      <c r="C18" s="6574" t="s">
        <v>2359</v>
      </c>
      <c r="D18" s="6574" t="s">
        <v>2360</v>
      </c>
      <c r="E18" s="6574" t="s">
        <v>2361</v>
      </c>
      <c r="F18" s="6574" t="s">
        <v>2362</v>
      </c>
      <c r="G18" s="6574" t="s">
        <v>2363</v>
      </c>
      <c r="H18" s="6574" t="s">
        <v>24</v>
      </c>
      <c r="I18" s="6574" t="s">
        <v>839</v>
      </c>
    </row>
    <row r="19" spans="1:9" ht="11.25" customHeight="1">
      <c r="A19" s="6574" t="s">
        <v>2294</v>
      </c>
      <c r="B19" s="6574" t="s">
        <v>14</v>
      </c>
      <c r="C19" s="6574" t="s">
        <v>2364</v>
      </c>
      <c r="D19" s="6574" t="s">
        <v>2365</v>
      </c>
      <c r="E19" s="6574" t="s">
        <v>2366</v>
      </c>
      <c r="F19" s="6574" t="s">
        <v>50</v>
      </c>
      <c r="G19" s="6574" t="s">
        <v>2367</v>
      </c>
      <c r="H19" s="6574" t="s">
        <v>24</v>
      </c>
      <c r="I19" s="6574" t="s">
        <v>839</v>
      </c>
    </row>
    <row r="20" spans="1:9" ht="11.25" customHeight="1">
      <c r="A20" s="6574" t="s">
        <v>2294</v>
      </c>
      <c r="B20" s="6574" t="s">
        <v>14</v>
      </c>
      <c r="C20" s="6574" t="s">
        <v>2368</v>
      </c>
      <c r="D20" s="6574" t="s">
        <v>2369</v>
      </c>
      <c r="E20" s="6574" t="s">
        <v>2370</v>
      </c>
      <c r="F20" s="6574" t="s">
        <v>50</v>
      </c>
      <c r="G20" s="6574" t="s">
        <v>2371</v>
      </c>
      <c r="H20" s="6574" t="s">
        <v>24</v>
      </c>
      <c r="I20" s="6574" t="s">
        <v>839</v>
      </c>
    </row>
    <row r="21" spans="1:9" ht="11.25" customHeight="1">
      <c r="A21" s="6574" t="s">
        <v>2294</v>
      </c>
      <c r="B21" s="6574" t="s">
        <v>14</v>
      </c>
      <c r="C21" s="6574" t="s">
        <v>2372</v>
      </c>
      <c r="D21" s="6574" t="s">
        <v>2373</v>
      </c>
      <c r="E21" s="6574" t="s">
        <v>2374</v>
      </c>
      <c r="F21" s="6574" t="s">
        <v>50</v>
      </c>
      <c r="G21" s="6574" t="s">
        <v>24</v>
      </c>
      <c r="H21" s="6574" t="s">
        <v>24</v>
      </c>
      <c r="I21" s="6574" t="s">
        <v>839</v>
      </c>
    </row>
    <row r="22" spans="1:9" ht="11.25" customHeight="1">
      <c r="A22" s="6574" t="s">
        <v>2294</v>
      </c>
      <c r="B22" s="6574" t="s">
        <v>14</v>
      </c>
      <c r="C22" s="6574" t="s">
        <v>2375</v>
      </c>
      <c r="D22" s="6574" t="s">
        <v>2376</v>
      </c>
      <c r="E22" s="6574" t="s">
        <v>2377</v>
      </c>
      <c r="F22" s="6574" t="s">
        <v>2378</v>
      </c>
      <c r="G22" s="6574" t="s">
        <v>2379</v>
      </c>
      <c r="H22" s="6574" t="s">
        <v>24</v>
      </c>
      <c r="I22" s="6574" t="s">
        <v>839</v>
      </c>
    </row>
    <row r="23" spans="1:9" ht="11.25" customHeight="1">
      <c r="A23" s="6574" t="s">
        <v>2294</v>
      </c>
      <c r="B23" s="6574" t="s">
        <v>14</v>
      </c>
      <c r="C23" s="6574" t="s">
        <v>2380</v>
      </c>
      <c r="D23" s="6574" t="s">
        <v>2381</v>
      </c>
      <c r="E23" s="6574" t="s">
        <v>2382</v>
      </c>
      <c r="F23" s="6574" t="s">
        <v>50</v>
      </c>
      <c r="G23" s="6574" t="s">
        <v>2383</v>
      </c>
      <c r="H23" s="6574" t="s">
        <v>24</v>
      </c>
      <c r="I23" s="6574" t="s">
        <v>839</v>
      </c>
    </row>
    <row r="24" spans="1:9" ht="11.25" customHeight="1">
      <c r="A24" s="6574" t="s">
        <v>2294</v>
      </c>
      <c r="B24" s="6574" t="s">
        <v>14</v>
      </c>
      <c r="C24" s="6574" t="s">
        <v>2384</v>
      </c>
      <c r="D24" s="6574" t="s">
        <v>2385</v>
      </c>
      <c r="E24" s="6574" t="s">
        <v>2386</v>
      </c>
      <c r="F24" s="6574" t="s">
        <v>50</v>
      </c>
      <c r="G24" s="6574" t="s">
        <v>24</v>
      </c>
      <c r="H24" s="6574" t="s">
        <v>24</v>
      </c>
      <c r="I24" s="6574" t="s">
        <v>839</v>
      </c>
    </row>
    <row r="25" spans="1:9" ht="11.25" customHeight="1">
      <c r="A25" s="6574" t="s">
        <v>2294</v>
      </c>
      <c r="B25" s="6574" t="s">
        <v>14</v>
      </c>
      <c r="C25" s="6574" t="s">
        <v>2387</v>
      </c>
      <c r="D25" s="6574" t="s">
        <v>2388</v>
      </c>
      <c r="E25" s="6574" t="s">
        <v>2389</v>
      </c>
      <c r="F25" s="6574" t="s">
        <v>2390</v>
      </c>
      <c r="G25" s="6574" t="s">
        <v>24</v>
      </c>
      <c r="H25" s="6574" t="s">
        <v>24</v>
      </c>
      <c r="I25" s="6574" t="s">
        <v>839</v>
      </c>
    </row>
    <row r="26" spans="1:9" ht="11.25" customHeight="1">
      <c r="A26" s="6574" t="s">
        <v>2294</v>
      </c>
      <c r="B26" s="6574" t="s">
        <v>14</v>
      </c>
      <c r="C26" s="6574" t="s">
        <v>2391</v>
      </c>
      <c r="D26" s="6574" t="s">
        <v>2392</v>
      </c>
      <c r="E26" s="6574" t="s">
        <v>2393</v>
      </c>
      <c r="F26" s="6574" t="s">
        <v>2331</v>
      </c>
      <c r="G26" s="6574" t="s">
        <v>2394</v>
      </c>
      <c r="H26" s="6574" t="s">
        <v>24</v>
      </c>
      <c r="I26" s="6574" t="s">
        <v>839</v>
      </c>
    </row>
    <row r="27" spans="1:9" ht="11.25" customHeight="1">
      <c r="A27" s="6574" t="s">
        <v>2294</v>
      </c>
      <c r="B27" s="6574" t="s">
        <v>14</v>
      </c>
      <c r="C27" s="6574" t="s">
        <v>2395</v>
      </c>
      <c r="D27" s="6574" t="s">
        <v>2396</v>
      </c>
      <c r="E27" s="6574" t="s">
        <v>2397</v>
      </c>
      <c r="F27" s="6574" t="s">
        <v>50</v>
      </c>
      <c r="G27" s="6574" t="s">
        <v>2398</v>
      </c>
      <c r="H27" s="6574" t="s">
        <v>24</v>
      </c>
      <c r="I27" s="6574" t="s">
        <v>839</v>
      </c>
    </row>
    <row r="28" spans="1:9" ht="11.25" customHeight="1">
      <c r="A28" s="6574" t="s">
        <v>2294</v>
      </c>
      <c r="B28" s="6574" t="s">
        <v>14</v>
      </c>
      <c r="C28" s="6574" t="s">
        <v>2399</v>
      </c>
      <c r="D28" s="6574" t="s">
        <v>2400</v>
      </c>
      <c r="E28" s="6574" t="s">
        <v>2401</v>
      </c>
      <c r="F28" s="6574" t="s">
        <v>2402</v>
      </c>
      <c r="G28" s="6574" t="s">
        <v>24</v>
      </c>
      <c r="H28" s="6574" t="s">
        <v>24</v>
      </c>
      <c r="I28" s="6574" t="s">
        <v>839</v>
      </c>
    </row>
    <row r="29" spans="1:9" ht="11.25" customHeight="1">
      <c r="A29" s="6574" t="s">
        <v>2294</v>
      </c>
      <c r="B29" s="6574" t="s">
        <v>14</v>
      </c>
      <c r="C29" s="6574" t="s">
        <v>2403</v>
      </c>
      <c r="D29" s="6574" t="s">
        <v>2404</v>
      </c>
      <c r="E29" s="6574" t="s">
        <v>2405</v>
      </c>
      <c r="F29" s="6574" t="s">
        <v>2406</v>
      </c>
      <c r="G29" s="6574" t="s">
        <v>2407</v>
      </c>
      <c r="H29" s="6574" t="s">
        <v>24</v>
      </c>
      <c r="I29" s="6574" t="s">
        <v>839</v>
      </c>
    </row>
    <row r="30" spans="1:9" ht="11.25" customHeight="1">
      <c r="A30" s="6574" t="s">
        <v>2294</v>
      </c>
      <c r="B30" s="6574" t="s">
        <v>14</v>
      </c>
      <c r="C30" s="6574" t="s">
        <v>2408</v>
      </c>
      <c r="D30" s="6574" t="s">
        <v>2409</v>
      </c>
      <c r="E30" s="6574" t="s">
        <v>2410</v>
      </c>
      <c r="F30" s="6574" t="s">
        <v>50</v>
      </c>
      <c r="G30" s="6574" t="s">
        <v>2411</v>
      </c>
      <c r="H30" s="6574" t="s">
        <v>24</v>
      </c>
      <c r="I30" s="6574" t="s">
        <v>839</v>
      </c>
    </row>
    <row r="31" spans="1:9" ht="11.25" customHeight="1">
      <c r="A31" s="6574" t="s">
        <v>2294</v>
      </c>
      <c r="B31" s="6574" t="s">
        <v>14</v>
      </c>
      <c r="C31" s="6574" t="s">
        <v>2412</v>
      </c>
      <c r="D31" s="6574" t="s">
        <v>45</v>
      </c>
      <c r="E31" s="6574" t="s">
        <v>48</v>
      </c>
      <c r="F31" s="6574" t="s">
        <v>50</v>
      </c>
      <c r="G31" s="6574" t="s">
        <v>2413</v>
      </c>
      <c r="H31" s="6574" t="s">
        <v>24</v>
      </c>
      <c r="I31" s="6574" t="s">
        <v>839</v>
      </c>
    </row>
    <row r="32" spans="1:9" ht="11.25" customHeight="1">
      <c r="A32" s="6574" t="s">
        <v>2294</v>
      </c>
      <c r="B32" s="6574" t="s">
        <v>14</v>
      </c>
      <c r="C32" s="6574" t="s">
        <v>2414</v>
      </c>
      <c r="D32" s="6574" t="s">
        <v>2415</v>
      </c>
      <c r="E32" s="6574" t="s">
        <v>2416</v>
      </c>
      <c r="F32" s="6574" t="s">
        <v>2390</v>
      </c>
      <c r="G32" s="6574" t="s">
        <v>24</v>
      </c>
      <c r="H32" s="6574" t="s">
        <v>24</v>
      </c>
      <c r="I32" s="6574" t="s">
        <v>839</v>
      </c>
    </row>
    <row r="33" spans="1:9" ht="11.25" customHeight="1">
      <c r="A33" s="6574" t="s">
        <v>2294</v>
      </c>
      <c r="B33" s="6574" t="s">
        <v>14</v>
      </c>
      <c r="C33" s="6574" t="s">
        <v>2417</v>
      </c>
      <c r="D33" s="6574" t="s">
        <v>2418</v>
      </c>
      <c r="E33" s="6574" t="s">
        <v>2419</v>
      </c>
      <c r="F33" s="6574" t="s">
        <v>2315</v>
      </c>
      <c r="G33" s="6574" t="s">
        <v>24</v>
      </c>
      <c r="H33" s="6574" t="s">
        <v>24</v>
      </c>
      <c r="I33" s="6574" t="s">
        <v>839</v>
      </c>
    </row>
    <row r="34" spans="1:9" ht="11.25" customHeight="1">
      <c r="A34" s="6574" t="s">
        <v>2294</v>
      </c>
      <c r="B34" s="6574" t="s">
        <v>14</v>
      </c>
      <c r="C34" s="6574" t="s">
        <v>2420</v>
      </c>
      <c r="D34" s="6574" t="s">
        <v>2421</v>
      </c>
      <c r="E34" s="6574" t="s">
        <v>2422</v>
      </c>
      <c r="F34" s="6574" t="s">
        <v>2315</v>
      </c>
      <c r="G34" s="6574" t="s">
        <v>24</v>
      </c>
      <c r="H34" s="6574" t="s">
        <v>24</v>
      </c>
      <c r="I34" s="6574" t="s">
        <v>839</v>
      </c>
    </row>
    <row r="35" spans="1:9" ht="11.25" customHeight="1">
      <c r="A35" s="6574" t="s">
        <v>2294</v>
      </c>
      <c r="B35" s="6574" t="s">
        <v>14</v>
      </c>
      <c r="C35" s="6574" t="s">
        <v>2423</v>
      </c>
      <c r="D35" s="6574" t="s">
        <v>2424</v>
      </c>
      <c r="E35" s="6574" t="s">
        <v>2425</v>
      </c>
      <c r="F35" s="6574" t="s">
        <v>2426</v>
      </c>
      <c r="G35" s="6574" t="s">
        <v>2427</v>
      </c>
      <c r="H35" s="6574" t="s">
        <v>24</v>
      </c>
      <c r="I35" s="6574" t="s">
        <v>839</v>
      </c>
    </row>
    <row r="36" spans="1:9" ht="11.25" customHeight="1">
      <c r="A36" s="6574" t="s">
        <v>2294</v>
      </c>
      <c r="B36" s="6574" t="s">
        <v>14</v>
      </c>
      <c r="C36" s="6574" t="s">
        <v>2428</v>
      </c>
      <c r="D36" s="6574" t="s">
        <v>2429</v>
      </c>
      <c r="E36" s="6574" t="s">
        <v>2430</v>
      </c>
      <c r="F36" s="6574" t="s">
        <v>50</v>
      </c>
      <c r="G36" s="6574" t="s">
        <v>24</v>
      </c>
      <c r="H36" s="6574" t="s">
        <v>24</v>
      </c>
      <c r="I36" s="6574" t="s">
        <v>839</v>
      </c>
    </row>
    <row r="37" spans="1:9" ht="11.25" customHeight="1">
      <c r="A37" s="6574" t="s">
        <v>2294</v>
      </c>
      <c r="B37" s="6574" t="s">
        <v>14</v>
      </c>
      <c r="C37" s="6574" t="s">
        <v>2431</v>
      </c>
      <c r="D37" s="6574" t="s">
        <v>2432</v>
      </c>
      <c r="E37" s="6574" t="s">
        <v>2433</v>
      </c>
      <c r="F37" s="6574" t="s">
        <v>2434</v>
      </c>
      <c r="G37" s="6574" t="s">
        <v>2435</v>
      </c>
      <c r="H37" s="6574" t="s">
        <v>24</v>
      </c>
      <c r="I37" s="6574" t="s">
        <v>839</v>
      </c>
    </row>
    <row r="38" spans="1:9" ht="11.25" customHeight="1">
      <c r="A38" s="6574" t="s">
        <v>2294</v>
      </c>
      <c r="B38" s="6574" t="s">
        <v>14</v>
      </c>
      <c r="C38" s="6574" t="s">
        <v>2436</v>
      </c>
      <c r="D38" s="6574" t="s">
        <v>2437</v>
      </c>
      <c r="E38" s="6574" t="s">
        <v>2438</v>
      </c>
      <c r="F38" s="6574" t="s">
        <v>50</v>
      </c>
      <c r="G38" s="6574" t="s">
        <v>24</v>
      </c>
      <c r="H38" s="6574" t="s">
        <v>24</v>
      </c>
      <c r="I38" s="6574" t="s">
        <v>839</v>
      </c>
    </row>
    <row r="39" spans="1:9" ht="11.25" customHeight="1">
      <c r="A39" s="6574" t="s">
        <v>2294</v>
      </c>
      <c r="B39" s="6574" t="s">
        <v>14</v>
      </c>
      <c r="C39" s="6574" t="s">
        <v>2439</v>
      </c>
      <c r="D39" s="6574" t="s">
        <v>2440</v>
      </c>
      <c r="E39" s="6574" t="s">
        <v>2441</v>
      </c>
      <c r="F39" s="6574" t="s">
        <v>2442</v>
      </c>
      <c r="G39" s="6574" t="s">
        <v>24</v>
      </c>
      <c r="H39" s="6574" t="s">
        <v>24</v>
      </c>
      <c r="I39" s="6574" t="s">
        <v>839</v>
      </c>
    </row>
    <row r="40" spans="1:9" ht="11.25" customHeight="1">
      <c r="A40" s="6574" t="s">
        <v>2294</v>
      </c>
      <c r="B40" s="6574" t="s">
        <v>14</v>
      </c>
      <c r="C40" s="6574" t="s">
        <v>2443</v>
      </c>
      <c r="D40" s="6574" t="s">
        <v>2444</v>
      </c>
      <c r="E40" s="6574" t="s">
        <v>2445</v>
      </c>
      <c r="F40" s="6574" t="s">
        <v>2315</v>
      </c>
      <c r="G40" s="6574" t="s">
        <v>24</v>
      </c>
      <c r="H40" s="6574" t="s">
        <v>24</v>
      </c>
      <c r="I40" s="6574" t="s">
        <v>839</v>
      </c>
    </row>
    <row r="41" spans="1:9" ht="11.25" customHeight="1">
      <c r="A41" s="6574" t="s">
        <v>2294</v>
      </c>
      <c r="B41" s="6574" t="s">
        <v>14</v>
      </c>
      <c r="C41" s="6574" t="s">
        <v>2446</v>
      </c>
      <c r="D41" s="6574" t="s">
        <v>2447</v>
      </c>
      <c r="E41" s="6574" t="s">
        <v>2448</v>
      </c>
      <c r="F41" s="6574" t="s">
        <v>50</v>
      </c>
      <c r="G41" s="6574" t="s">
        <v>2449</v>
      </c>
      <c r="H41" s="6574" t="s">
        <v>24</v>
      </c>
      <c r="I41" s="6574" t="s">
        <v>839</v>
      </c>
    </row>
    <row r="42" spans="1:9" ht="11.25" customHeight="1">
      <c r="A42" s="6574" t="s">
        <v>2294</v>
      </c>
      <c r="B42" s="6574" t="s">
        <v>14</v>
      </c>
      <c r="C42" s="6574" t="s">
        <v>2450</v>
      </c>
      <c r="D42" s="6574" t="s">
        <v>2451</v>
      </c>
      <c r="E42" s="6574" t="s">
        <v>2452</v>
      </c>
      <c r="F42" s="6574" t="s">
        <v>2315</v>
      </c>
      <c r="G42" s="6574" t="s">
        <v>24</v>
      </c>
      <c r="H42" s="6574" t="s">
        <v>24</v>
      </c>
      <c r="I42" s="6574" t="s">
        <v>839</v>
      </c>
    </row>
    <row r="43" spans="1:9" ht="11.25" customHeight="1">
      <c r="A43" s="6574" t="s">
        <v>2294</v>
      </c>
      <c r="B43" s="6574" t="s">
        <v>14</v>
      </c>
      <c r="C43" s="6574" t="s">
        <v>2453</v>
      </c>
      <c r="D43" s="6574" t="s">
        <v>2454</v>
      </c>
      <c r="E43" s="6574" t="s">
        <v>2455</v>
      </c>
      <c r="F43" s="6574" t="s">
        <v>2442</v>
      </c>
      <c r="G43" s="6574" t="s">
        <v>24</v>
      </c>
      <c r="H43" s="6574" t="s">
        <v>24</v>
      </c>
      <c r="I43" s="6574" t="s">
        <v>839</v>
      </c>
    </row>
    <row r="44" spans="1:9" ht="11.25" customHeight="1">
      <c r="A44" s="6574" t="s">
        <v>2294</v>
      </c>
      <c r="B44" s="6574" t="s">
        <v>14</v>
      </c>
      <c r="C44" s="6574" t="s">
        <v>2456</v>
      </c>
      <c r="D44" s="6574" t="s">
        <v>2457</v>
      </c>
      <c r="E44" s="6574" t="s">
        <v>2458</v>
      </c>
      <c r="F44" s="6574" t="s">
        <v>50</v>
      </c>
      <c r="G44" s="6574" t="s">
        <v>24</v>
      </c>
      <c r="H44" s="6574" t="s">
        <v>24</v>
      </c>
      <c r="I44" s="6574" t="s">
        <v>839</v>
      </c>
    </row>
    <row r="45" spans="1:9" ht="11.25" customHeight="1">
      <c r="A45" s="6574" t="s">
        <v>2294</v>
      </c>
      <c r="B45" s="6574" t="s">
        <v>14</v>
      </c>
      <c r="C45" s="6574" t="s">
        <v>2459</v>
      </c>
      <c r="D45" s="6574" t="s">
        <v>2460</v>
      </c>
      <c r="E45" s="6574" t="s">
        <v>2461</v>
      </c>
      <c r="F45" s="6574" t="s">
        <v>2462</v>
      </c>
      <c r="G45" s="6574" t="s">
        <v>24</v>
      </c>
      <c r="H45" s="6574" t="s">
        <v>24</v>
      </c>
      <c r="I45" s="6574" t="s">
        <v>839</v>
      </c>
    </row>
    <row r="46" spans="1:9" ht="11.25" customHeight="1">
      <c r="A46" s="6574" t="s">
        <v>2294</v>
      </c>
      <c r="B46" s="6574" t="s">
        <v>14</v>
      </c>
      <c r="C46" s="6574" t="s">
        <v>2463</v>
      </c>
      <c r="D46" s="6574" t="s">
        <v>2464</v>
      </c>
      <c r="E46" s="6574" t="s">
        <v>2465</v>
      </c>
      <c r="F46" s="6574" t="s">
        <v>2390</v>
      </c>
      <c r="G46" s="6574" t="s">
        <v>2466</v>
      </c>
      <c r="H46" s="6574" t="s">
        <v>24</v>
      </c>
      <c r="I46" s="6574" t="s">
        <v>839</v>
      </c>
    </row>
    <row r="47" spans="1:9" ht="11.25" customHeight="1">
      <c r="A47" s="6574" t="s">
        <v>2294</v>
      </c>
      <c r="B47" s="6574" t="s">
        <v>14</v>
      </c>
      <c r="C47" s="6574" t="s">
        <v>2467</v>
      </c>
      <c r="D47" s="6574" t="s">
        <v>2468</v>
      </c>
      <c r="E47" s="6574" t="s">
        <v>2469</v>
      </c>
      <c r="F47" s="6574" t="s">
        <v>2331</v>
      </c>
      <c r="G47" s="6574" t="s">
        <v>24</v>
      </c>
      <c r="H47" s="6574" t="s">
        <v>24</v>
      </c>
      <c r="I47" s="6574" t="s">
        <v>839</v>
      </c>
    </row>
    <row r="48" spans="1:9" ht="11.25" customHeight="1">
      <c r="A48" s="6574" t="s">
        <v>2294</v>
      </c>
      <c r="B48" s="6574" t="s">
        <v>14</v>
      </c>
      <c r="C48" s="6574" t="s">
        <v>2470</v>
      </c>
      <c r="D48" s="6574" t="s">
        <v>2471</v>
      </c>
      <c r="E48" s="6574" t="s">
        <v>2472</v>
      </c>
      <c r="F48" s="6574" t="s">
        <v>2326</v>
      </c>
      <c r="G48" s="6574" t="s">
        <v>2473</v>
      </c>
      <c r="H48" s="6574" t="s">
        <v>24</v>
      </c>
      <c r="I48" s="6574" t="s">
        <v>839</v>
      </c>
    </row>
    <row r="49" spans="1:9" ht="11.25" customHeight="1">
      <c r="A49" s="6574" t="s">
        <v>2294</v>
      </c>
      <c r="B49" s="6574" t="s">
        <v>14</v>
      </c>
      <c r="C49" s="6574" t="s">
        <v>2474</v>
      </c>
      <c r="D49" s="6574" t="s">
        <v>2475</v>
      </c>
      <c r="E49" s="6574" t="s">
        <v>2476</v>
      </c>
      <c r="F49" s="6574" t="s">
        <v>50</v>
      </c>
      <c r="G49" s="6574" t="s">
        <v>24</v>
      </c>
      <c r="H49" s="6574" t="s">
        <v>24</v>
      </c>
      <c r="I49" s="6574" t="s">
        <v>839</v>
      </c>
    </row>
    <row r="50" spans="1:9" ht="11.25" customHeight="1">
      <c r="A50" s="6574" t="s">
        <v>2294</v>
      </c>
      <c r="B50" s="6574" t="s">
        <v>14</v>
      </c>
      <c r="C50" s="6574" t="s">
        <v>2477</v>
      </c>
      <c r="D50" s="6574" t="s">
        <v>2478</v>
      </c>
      <c r="E50" s="6574" t="s">
        <v>2479</v>
      </c>
      <c r="F50" s="6574" t="s">
        <v>2480</v>
      </c>
      <c r="G50" s="6574" t="s">
        <v>24</v>
      </c>
      <c r="H50" s="6574" t="s">
        <v>24</v>
      </c>
      <c r="I50" s="6574" t="s">
        <v>839</v>
      </c>
    </row>
    <row r="51" spans="1:9" ht="11.25" customHeight="1">
      <c r="A51" s="6574" t="s">
        <v>2294</v>
      </c>
      <c r="B51" s="6574" t="s">
        <v>14</v>
      </c>
      <c r="C51" s="6574" t="s">
        <v>2481</v>
      </c>
      <c r="D51" s="6574" t="s">
        <v>2482</v>
      </c>
      <c r="E51" s="6574" t="s">
        <v>2483</v>
      </c>
      <c r="F51" s="6574" t="s">
        <v>50</v>
      </c>
      <c r="G51" s="6574" t="s">
        <v>24</v>
      </c>
      <c r="H51" s="6574" t="s">
        <v>24</v>
      </c>
      <c r="I51" s="6574" t="s">
        <v>839</v>
      </c>
    </row>
    <row r="52" spans="1:9" ht="11.25" customHeight="1">
      <c r="A52" s="6574" t="s">
        <v>2294</v>
      </c>
      <c r="B52" s="6574" t="s">
        <v>14</v>
      </c>
      <c r="C52" s="6574" t="s">
        <v>2484</v>
      </c>
      <c r="D52" s="6574" t="s">
        <v>2485</v>
      </c>
      <c r="E52" s="6574" t="s">
        <v>2486</v>
      </c>
      <c r="F52" s="6574" t="s">
        <v>50</v>
      </c>
      <c r="G52" s="6574" t="s">
        <v>2487</v>
      </c>
      <c r="H52" s="6574" t="s">
        <v>24</v>
      </c>
      <c r="I52" s="6574" t="s">
        <v>839</v>
      </c>
    </row>
    <row r="53" spans="1:9" ht="11.25" customHeight="1">
      <c r="A53" s="6574" t="s">
        <v>2294</v>
      </c>
      <c r="B53" s="6574" t="s">
        <v>14</v>
      </c>
      <c r="C53" s="6574" t="s">
        <v>2488</v>
      </c>
      <c r="D53" s="6574" t="s">
        <v>2489</v>
      </c>
      <c r="E53" s="6574" t="s">
        <v>2490</v>
      </c>
      <c r="F53" s="6574" t="s">
        <v>50</v>
      </c>
      <c r="G53" s="6574" t="s">
        <v>2491</v>
      </c>
      <c r="H53" s="6574" t="s">
        <v>24</v>
      </c>
      <c r="I53" s="6574" t="s">
        <v>839</v>
      </c>
    </row>
    <row r="54" spans="1:9" ht="11.25" customHeight="1">
      <c r="A54" s="6574" t="s">
        <v>2294</v>
      </c>
      <c r="B54" s="6574" t="s">
        <v>14</v>
      </c>
      <c r="C54" s="6574" t="s">
        <v>2492</v>
      </c>
      <c r="D54" s="6574" t="s">
        <v>2493</v>
      </c>
      <c r="E54" s="6574" t="s">
        <v>2494</v>
      </c>
      <c r="F54" s="6574" t="s">
        <v>2315</v>
      </c>
      <c r="G54" s="6574" t="s">
        <v>2495</v>
      </c>
      <c r="H54" s="6574" t="s">
        <v>24</v>
      </c>
      <c r="I54" s="6574" t="s">
        <v>839</v>
      </c>
    </row>
    <row r="55" spans="1:9" ht="11.25" customHeight="1">
      <c r="A55" s="6574" t="s">
        <v>2294</v>
      </c>
      <c r="B55" s="6574" t="s">
        <v>14</v>
      </c>
      <c r="C55" s="6574" t="s">
        <v>2496</v>
      </c>
      <c r="D55" s="6574" t="s">
        <v>2497</v>
      </c>
      <c r="E55" s="6574" t="s">
        <v>2498</v>
      </c>
      <c r="F55" s="6574" t="s">
        <v>2315</v>
      </c>
      <c r="G55" s="6574" t="s">
        <v>2499</v>
      </c>
      <c r="H55" s="6574" t="s">
        <v>24</v>
      </c>
      <c r="I55" s="6574" t="s">
        <v>839</v>
      </c>
    </row>
    <row r="56" spans="1:9" ht="11.25" customHeight="1">
      <c r="A56" s="6574" t="s">
        <v>2294</v>
      </c>
      <c r="B56" s="6574" t="s">
        <v>14</v>
      </c>
      <c r="C56" s="6574" t="s">
        <v>2500</v>
      </c>
      <c r="D56" s="6574" t="s">
        <v>2501</v>
      </c>
      <c r="E56" s="6574" t="s">
        <v>2502</v>
      </c>
      <c r="F56" s="6574" t="s">
        <v>2503</v>
      </c>
      <c r="G56" s="6574" t="s">
        <v>2504</v>
      </c>
      <c r="H56" s="6574" t="s">
        <v>24</v>
      </c>
      <c r="I56" s="6574" t="s">
        <v>839</v>
      </c>
    </row>
    <row r="57" spans="1:9" ht="11.25" customHeight="1">
      <c r="A57" s="6574" t="s">
        <v>2294</v>
      </c>
      <c r="B57" s="6574" t="s">
        <v>14</v>
      </c>
      <c r="C57" s="6574" t="s">
        <v>2505</v>
      </c>
      <c r="D57" s="6574" t="s">
        <v>2506</v>
      </c>
      <c r="E57" s="6574" t="s">
        <v>2479</v>
      </c>
      <c r="F57" s="6574" t="s">
        <v>2507</v>
      </c>
      <c r="G57" s="6574" t="s">
        <v>24</v>
      </c>
      <c r="H57" s="6574" t="s">
        <v>24</v>
      </c>
      <c r="I57" s="6574" t="s">
        <v>839</v>
      </c>
    </row>
    <row r="58" spans="1:9" ht="11.25" customHeight="1">
      <c r="A58" s="6574" t="s">
        <v>2294</v>
      </c>
      <c r="B58" s="6574" t="s">
        <v>14</v>
      </c>
      <c r="C58" s="6574" t="s">
        <v>2299</v>
      </c>
      <c r="D58" s="6574" t="s">
        <v>2296</v>
      </c>
      <c r="E58" s="6574" t="s">
        <v>2297</v>
      </c>
      <c r="F58" s="6574" t="s">
        <v>2300</v>
      </c>
      <c r="G58" s="6574" t="s">
        <v>24</v>
      </c>
      <c r="H58" s="6574" t="s">
        <v>24</v>
      </c>
      <c r="I58" s="6574" t="s">
        <v>923</v>
      </c>
    </row>
    <row r="59" spans="1:9" ht="11.25" customHeight="1">
      <c r="A59" s="6574" t="s">
        <v>2294</v>
      </c>
      <c r="B59" s="6574" t="s">
        <v>14</v>
      </c>
      <c r="C59" s="6574" t="s">
        <v>2308</v>
      </c>
      <c r="D59" s="6574" t="s">
        <v>2309</v>
      </c>
      <c r="E59" s="6574" t="s">
        <v>2310</v>
      </c>
      <c r="F59" s="6574" t="s">
        <v>50</v>
      </c>
      <c r="G59" s="6574" t="s">
        <v>24</v>
      </c>
      <c r="H59" s="6574" t="s">
        <v>2311</v>
      </c>
      <c r="I59" s="6574" t="s">
        <v>923</v>
      </c>
    </row>
    <row r="60" spans="1:9" ht="11.25" customHeight="1">
      <c r="A60" s="6574" t="s">
        <v>2294</v>
      </c>
      <c r="B60" s="6574" t="s">
        <v>14</v>
      </c>
      <c r="C60" s="6574" t="s">
        <v>2312</v>
      </c>
      <c r="D60" s="6574" t="s">
        <v>2313</v>
      </c>
      <c r="E60" s="6574" t="s">
        <v>2314</v>
      </c>
      <c r="F60" s="6574" t="s">
        <v>2315</v>
      </c>
      <c r="G60" s="6574" t="s">
        <v>24</v>
      </c>
      <c r="H60" s="6574" t="s">
        <v>24</v>
      </c>
      <c r="I60" s="6574" t="s">
        <v>923</v>
      </c>
    </row>
    <row r="61" spans="1:9" ht="11.25" customHeight="1">
      <c r="A61" s="6574" t="s">
        <v>2294</v>
      </c>
      <c r="B61" s="6574" t="s">
        <v>14</v>
      </c>
      <c r="C61" s="6574" t="s">
        <v>2316</v>
      </c>
      <c r="D61" s="6574" t="s">
        <v>2317</v>
      </c>
      <c r="E61" s="6574" t="s">
        <v>2318</v>
      </c>
      <c r="F61" s="6574" t="s">
        <v>2315</v>
      </c>
      <c r="G61" s="6574" t="s">
        <v>2319</v>
      </c>
      <c r="H61" s="6574" t="s">
        <v>2320</v>
      </c>
      <c r="I61" s="6574" t="s">
        <v>923</v>
      </c>
    </row>
    <row r="62" spans="1:9" ht="11.25" customHeight="1">
      <c r="A62" s="6574" t="s">
        <v>2294</v>
      </c>
      <c r="B62" s="6574" t="s">
        <v>14</v>
      </c>
      <c r="C62" s="6574" t="s">
        <v>24</v>
      </c>
      <c r="D62" s="6574" t="s">
        <v>2321</v>
      </c>
      <c r="E62" s="6574" t="s">
        <v>2322</v>
      </c>
      <c r="F62" s="6574" t="s">
        <v>50</v>
      </c>
      <c r="G62" s="6574" t="s">
        <v>24</v>
      </c>
      <c r="H62" s="6574" t="s">
        <v>24</v>
      </c>
      <c r="I62" s="6574" t="s">
        <v>923</v>
      </c>
    </row>
    <row r="63" spans="1:9" ht="11.25" customHeight="1">
      <c r="A63" s="6574" t="s">
        <v>2294</v>
      </c>
      <c r="B63" s="6574" t="s">
        <v>14</v>
      </c>
      <c r="C63" s="6574" t="s">
        <v>2323</v>
      </c>
      <c r="D63" s="6574" t="s">
        <v>2324</v>
      </c>
      <c r="E63" s="6574" t="s">
        <v>2325</v>
      </c>
      <c r="F63" s="6574" t="s">
        <v>2326</v>
      </c>
      <c r="G63" s="6574" t="s">
        <v>2327</v>
      </c>
      <c r="H63" s="6574" t="s">
        <v>24</v>
      </c>
      <c r="I63" s="6574" t="s">
        <v>923</v>
      </c>
    </row>
    <row r="64" spans="1:9" ht="11.25" customHeight="1">
      <c r="A64" s="6574" t="s">
        <v>2294</v>
      </c>
      <c r="B64" s="6574" t="s">
        <v>14</v>
      </c>
      <c r="C64" s="6574" t="s">
        <v>2337</v>
      </c>
      <c r="D64" s="6574" t="s">
        <v>2338</v>
      </c>
      <c r="E64" s="6574" t="s">
        <v>2339</v>
      </c>
      <c r="F64" s="6574" t="s">
        <v>50</v>
      </c>
      <c r="G64" s="6574" t="s">
        <v>2340</v>
      </c>
      <c r="H64" s="6574" t="s">
        <v>24</v>
      </c>
      <c r="I64" s="6574" t="s">
        <v>923</v>
      </c>
    </row>
    <row r="65" spans="1:9" ht="11.25" customHeight="1">
      <c r="A65" s="6574" t="s">
        <v>2294</v>
      </c>
      <c r="B65" s="6574" t="s">
        <v>14</v>
      </c>
      <c r="C65" s="6574" t="s">
        <v>2346</v>
      </c>
      <c r="D65" s="6574" t="s">
        <v>2347</v>
      </c>
      <c r="E65" s="6574" t="s">
        <v>2348</v>
      </c>
      <c r="F65" s="6574" t="s">
        <v>50</v>
      </c>
      <c r="G65" s="6574" t="s">
        <v>2349</v>
      </c>
      <c r="H65" s="6574" t="s">
        <v>24</v>
      </c>
      <c r="I65" s="6574" t="s">
        <v>923</v>
      </c>
    </row>
    <row r="66" spans="1:9" ht="11.25" customHeight="1">
      <c r="A66" s="6574" t="s">
        <v>2294</v>
      </c>
      <c r="B66" s="6574" t="s">
        <v>14</v>
      </c>
      <c r="C66" s="6574" t="s">
        <v>2364</v>
      </c>
      <c r="D66" s="6574" t="s">
        <v>2365</v>
      </c>
      <c r="E66" s="6574" t="s">
        <v>2366</v>
      </c>
      <c r="F66" s="6574" t="s">
        <v>50</v>
      </c>
      <c r="G66" s="6574" t="s">
        <v>2367</v>
      </c>
      <c r="H66" s="6574" t="s">
        <v>24</v>
      </c>
      <c r="I66" s="6574" t="s">
        <v>923</v>
      </c>
    </row>
    <row r="67" spans="1:9" ht="11.25" customHeight="1">
      <c r="A67" s="6574" t="s">
        <v>2294</v>
      </c>
      <c r="B67" s="6574" t="s">
        <v>14</v>
      </c>
      <c r="C67" s="6574" t="s">
        <v>2375</v>
      </c>
      <c r="D67" s="6574" t="s">
        <v>2376</v>
      </c>
      <c r="E67" s="6574" t="s">
        <v>2377</v>
      </c>
      <c r="F67" s="6574" t="s">
        <v>2378</v>
      </c>
      <c r="G67" s="6574" t="s">
        <v>2379</v>
      </c>
      <c r="H67" s="6574" t="s">
        <v>24</v>
      </c>
      <c r="I67" s="6574" t="s">
        <v>923</v>
      </c>
    </row>
    <row r="68" spans="1:9" ht="11.25" customHeight="1">
      <c r="A68" s="6574" t="s">
        <v>2294</v>
      </c>
      <c r="B68" s="6574" t="s">
        <v>14</v>
      </c>
      <c r="C68" s="6574" t="s">
        <v>2380</v>
      </c>
      <c r="D68" s="6574" t="s">
        <v>2381</v>
      </c>
      <c r="E68" s="6574" t="s">
        <v>2382</v>
      </c>
      <c r="F68" s="6574" t="s">
        <v>50</v>
      </c>
      <c r="G68" s="6574" t="s">
        <v>2383</v>
      </c>
      <c r="H68" s="6574" t="s">
        <v>24</v>
      </c>
      <c r="I68" s="6574" t="s">
        <v>923</v>
      </c>
    </row>
    <row r="69" spans="1:9" ht="11.25" customHeight="1">
      <c r="A69" s="6574" t="s">
        <v>2294</v>
      </c>
      <c r="B69" s="6574" t="s">
        <v>14</v>
      </c>
      <c r="C69" s="6574" t="s">
        <v>2408</v>
      </c>
      <c r="D69" s="6574" t="s">
        <v>2409</v>
      </c>
      <c r="E69" s="6574" t="s">
        <v>2410</v>
      </c>
      <c r="F69" s="6574" t="s">
        <v>50</v>
      </c>
      <c r="G69" s="6574" t="s">
        <v>2411</v>
      </c>
      <c r="H69" s="6574" t="s">
        <v>24</v>
      </c>
      <c r="I69" s="6574" t="s">
        <v>923</v>
      </c>
    </row>
    <row r="70" spans="1:9" ht="11.25" customHeight="1">
      <c r="A70" s="6574" t="s">
        <v>2294</v>
      </c>
      <c r="B70" s="6574" t="s">
        <v>14</v>
      </c>
      <c r="C70" s="6574" t="s">
        <v>2412</v>
      </c>
      <c r="D70" s="6574" t="s">
        <v>45</v>
      </c>
      <c r="E70" s="6574" t="s">
        <v>48</v>
      </c>
      <c r="F70" s="6574" t="s">
        <v>50</v>
      </c>
      <c r="G70" s="6574" t="s">
        <v>2413</v>
      </c>
      <c r="H70" s="6574" t="s">
        <v>24</v>
      </c>
      <c r="I70" s="6574" t="s">
        <v>923</v>
      </c>
    </row>
    <row r="71" spans="1:9" ht="11.25" customHeight="1">
      <c r="A71" s="6574" t="s">
        <v>2294</v>
      </c>
      <c r="B71" s="6574" t="s">
        <v>14</v>
      </c>
      <c r="C71" s="6574" t="s">
        <v>2414</v>
      </c>
      <c r="D71" s="6574" t="s">
        <v>2415</v>
      </c>
      <c r="E71" s="6574" t="s">
        <v>2416</v>
      </c>
      <c r="F71" s="6574" t="s">
        <v>2390</v>
      </c>
      <c r="G71" s="6574" t="s">
        <v>24</v>
      </c>
      <c r="H71" s="6574" t="s">
        <v>24</v>
      </c>
      <c r="I71" s="6574" t="s">
        <v>923</v>
      </c>
    </row>
    <row r="72" spans="1:9" ht="11.25" customHeight="1">
      <c r="A72" s="6574" t="s">
        <v>2294</v>
      </c>
      <c r="B72" s="6574" t="s">
        <v>14</v>
      </c>
      <c r="C72" s="6574" t="s">
        <v>2417</v>
      </c>
      <c r="D72" s="6574" t="s">
        <v>2418</v>
      </c>
      <c r="E72" s="6574" t="s">
        <v>2419</v>
      </c>
      <c r="F72" s="6574" t="s">
        <v>2315</v>
      </c>
      <c r="G72" s="6574" t="s">
        <v>24</v>
      </c>
      <c r="H72" s="6574" t="s">
        <v>24</v>
      </c>
      <c r="I72" s="6574" t="s">
        <v>923</v>
      </c>
    </row>
    <row r="73" spans="1:9" ht="11.25" customHeight="1">
      <c r="A73" s="6574" t="s">
        <v>2294</v>
      </c>
      <c r="B73" s="6574" t="s">
        <v>14</v>
      </c>
      <c r="C73" s="6574" t="s">
        <v>2420</v>
      </c>
      <c r="D73" s="6574" t="s">
        <v>2421</v>
      </c>
      <c r="E73" s="6574" t="s">
        <v>2422</v>
      </c>
      <c r="F73" s="6574" t="s">
        <v>2315</v>
      </c>
      <c r="G73" s="6574" t="s">
        <v>24</v>
      </c>
      <c r="H73" s="6574" t="s">
        <v>24</v>
      </c>
      <c r="I73" s="6574" t="s">
        <v>923</v>
      </c>
    </row>
    <row r="74" spans="1:9" ht="11.25" customHeight="1">
      <c r="A74" s="6574" t="s">
        <v>2294</v>
      </c>
      <c r="B74" s="6574" t="s">
        <v>14</v>
      </c>
      <c r="C74" s="6574" t="s">
        <v>2431</v>
      </c>
      <c r="D74" s="6574" t="s">
        <v>2432</v>
      </c>
      <c r="E74" s="6574" t="s">
        <v>2433</v>
      </c>
      <c r="F74" s="6574" t="s">
        <v>2434</v>
      </c>
      <c r="G74" s="6574" t="s">
        <v>2435</v>
      </c>
      <c r="H74" s="6574" t="s">
        <v>24</v>
      </c>
      <c r="I74" s="6574" t="s">
        <v>923</v>
      </c>
    </row>
    <row r="75" spans="1:9" ht="11.25" customHeight="1">
      <c r="A75" s="6574" t="s">
        <v>2294</v>
      </c>
      <c r="B75" s="6574" t="s">
        <v>14</v>
      </c>
      <c r="C75" s="6574" t="s">
        <v>2436</v>
      </c>
      <c r="D75" s="6574" t="s">
        <v>2437</v>
      </c>
      <c r="E75" s="6574" t="s">
        <v>2438</v>
      </c>
      <c r="F75" s="6574" t="s">
        <v>50</v>
      </c>
      <c r="G75" s="6574" t="s">
        <v>24</v>
      </c>
      <c r="H75" s="6574" t="s">
        <v>24</v>
      </c>
      <c r="I75" s="6574" t="s">
        <v>923</v>
      </c>
    </row>
    <row r="76" spans="1:9" ht="11.25" customHeight="1">
      <c r="A76" s="6574" t="s">
        <v>2294</v>
      </c>
      <c r="B76" s="6574" t="s">
        <v>14</v>
      </c>
      <c r="C76" s="6574" t="s">
        <v>2443</v>
      </c>
      <c r="D76" s="6574" t="s">
        <v>2444</v>
      </c>
      <c r="E76" s="6574" t="s">
        <v>2445</v>
      </c>
      <c r="F76" s="6574" t="s">
        <v>2315</v>
      </c>
      <c r="G76" s="6574" t="s">
        <v>24</v>
      </c>
      <c r="H76" s="6574" t="s">
        <v>24</v>
      </c>
      <c r="I76" s="6574" t="s">
        <v>923</v>
      </c>
    </row>
    <row r="77" spans="1:9" ht="11.25" customHeight="1">
      <c r="A77" s="6574" t="s">
        <v>2294</v>
      </c>
      <c r="B77" s="6574" t="s">
        <v>14</v>
      </c>
      <c r="C77" s="6574" t="s">
        <v>2459</v>
      </c>
      <c r="D77" s="6574" t="s">
        <v>2460</v>
      </c>
      <c r="E77" s="6574" t="s">
        <v>2461</v>
      </c>
      <c r="F77" s="6574" t="s">
        <v>2462</v>
      </c>
      <c r="G77" s="6574" t="s">
        <v>24</v>
      </c>
      <c r="H77" s="6574" t="s">
        <v>24</v>
      </c>
      <c r="I77" s="6574" t="s">
        <v>923</v>
      </c>
    </row>
    <row r="78" spans="1:9" ht="11.25" customHeight="1">
      <c r="A78" s="6574" t="s">
        <v>2294</v>
      </c>
      <c r="B78" s="6574" t="s">
        <v>14</v>
      </c>
      <c r="C78" s="6574" t="s">
        <v>2508</v>
      </c>
      <c r="D78" s="6574" t="s">
        <v>2509</v>
      </c>
      <c r="E78" s="6574" t="s">
        <v>2461</v>
      </c>
      <c r="F78" s="6574" t="s">
        <v>2510</v>
      </c>
      <c r="G78" s="6574" t="s">
        <v>2511</v>
      </c>
      <c r="H78" s="6574" t="s">
        <v>24</v>
      </c>
      <c r="I78" s="6574" t="s">
        <v>923</v>
      </c>
    </row>
    <row r="79" spans="1:9" ht="11.25" customHeight="1">
      <c r="A79" s="6574" t="s">
        <v>2294</v>
      </c>
      <c r="B79" s="6574" t="s">
        <v>14</v>
      </c>
      <c r="C79" s="6574" t="s">
        <v>2470</v>
      </c>
      <c r="D79" s="6574" t="s">
        <v>2471</v>
      </c>
      <c r="E79" s="6574" t="s">
        <v>2472</v>
      </c>
      <c r="F79" s="6574" t="s">
        <v>2326</v>
      </c>
      <c r="G79" s="6574" t="s">
        <v>2473</v>
      </c>
      <c r="H79" s="6574" t="s">
        <v>24</v>
      </c>
      <c r="I79" s="6574" t="s">
        <v>923</v>
      </c>
    </row>
    <row r="80" spans="1:9" ht="11.25" customHeight="1">
      <c r="A80" s="6574" t="s">
        <v>2294</v>
      </c>
      <c r="B80" s="6574" t="s">
        <v>14</v>
      </c>
      <c r="C80" s="6574" t="s">
        <v>2477</v>
      </c>
      <c r="D80" s="6574" t="s">
        <v>2478</v>
      </c>
      <c r="E80" s="6574" t="s">
        <v>2479</v>
      </c>
      <c r="F80" s="6574" t="s">
        <v>2480</v>
      </c>
      <c r="G80" s="6574" t="s">
        <v>24</v>
      </c>
      <c r="H80" s="6574" t="s">
        <v>24</v>
      </c>
      <c r="I80" s="6574" t="s">
        <v>923</v>
      </c>
    </row>
    <row r="81" spans="1:9" ht="11.25" customHeight="1">
      <c r="A81" s="6574" t="s">
        <v>2294</v>
      </c>
      <c r="B81" s="6574" t="s">
        <v>14</v>
      </c>
      <c r="C81" s="6574" t="s">
        <v>2488</v>
      </c>
      <c r="D81" s="6574" t="s">
        <v>2489</v>
      </c>
      <c r="E81" s="6574" t="s">
        <v>2490</v>
      </c>
      <c r="F81" s="6574" t="s">
        <v>50</v>
      </c>
      <c r="G81" s="6574" t="s">
        <v>2491</v>
      </c>
      <c r="H81" s="6574" t="s">
        <v>24</v>
      </c>
      <c r="I81" s="6574" t="s">
        <v>923</v>
      </c>
    </row>
    <row r="82" spans="1:9" ht="11.25" customHeight="1">
      <c r="A82" s="6574" t="s">
        <v>2294</v>
      </c>
      <c r="B82" s="6574" t="s">
        <v>14</v>
      </c>
      <c r="C82" s="6574" t="s">
        <v>2492</v>
      </c>
      <c r="D82" s="6574" t="s">
        <v>2493</v>
      </c>
      <c r="E82" s="6574" t="s">
        <v>2494</v>
      </c>
      <c r="F82" s="6574" t="s">
        <v>2315</v>
      </c>
      <c r="G82" s="6574" t="s">
        <v>2495</v>
      </c>
      <c r="H82" s="6574" t="s">
        <v>24</v>
      </c>
      <c r="I82" s="6574" t="s">
        <v>923</v>
      </c>
    </row>
    <row r="83" spans="1:9" ht="11.25" customHeight="1">
      <c r="A83" s="6574" t="s">
        <v>2294</v>
      </c>
      <c r="B83" s="6574" t="s">
        <v>14</v>
      </c>
      <c r="C83" s="6574" t="s">
        <v>2496</v>
      </c>
      <c r="D83" s="6574" t="s">
        <v>2497</v>
      </c>
      <c r="E83" s="6574" t="s">
        <v>2498</v>
      </c>
      <c r="F83" s="6574" t="s">
        <v>2315</v>
      </c>
      <c r="G83" s="6574" t="s">
        <v>2499</v>
      </c>
      <c r="H83" s="6574" t="s">
        <v>24</v>
      </c>
      <c r="I83" s="6574" t="s">
        <v>923</v>
      </c>
    </row>
    <row r="84" spans="1:9" ht="11.25" customHeight="1">
      <c r="A84" s="6574" t="s">
        <v>2294</v>
      </c>
      <c r="B84" s="6574" t="s">
        <v>14</v>
      </c>
      <c r="C84" s="6574" t="s">
        <v>2505</v>
      </c>
      <c r="D84" s="6574" t="s">
        <v>2506</v>
      </c>
      <c r="E84" s="6574" t="s">
        <v>2479</v>
      </c>
      <c r="F84" s="6574" t="s">
        <v>2507</v>
      </c>
      <c r="G84" s="6574" t="s">
        <v>24</v>
      </c>
      <c r="H84" s="6574" t="s">
        <v>24</v>
      </c>
      <c r="I84" s="6574" t="s">
        <v>923</v>
      </c>
    </row>
    <row r="85" spans="1:9" ht="11.25" customHeight="1">
      <c r="A85" s="6574" t="s">
        <v>2294</v>
      </c>
      <c r="B85" s="6574" t="s">
        <v>14</v>
      </c>
      <c r="C85" s="6574" t="s">
        <v>2299</v>
      </c>
      <c r="D85" s="6574" t="s">
        <v>2296</v>
      </c>
      <c r="E85" s="6574" t="s">
        <v>2297</v>
      </c>
      <c r="F85" s="6574" t="s">
        <v>2300</v>
      </c>
      <c r="G85" s="6574" t="s">
        <v>24</v>
      </c>
      <c r="H85" s="6574" t="s">
        <v>24</v>
      </c>
      <c r="I85" s="6574" t="s">
        <v>885</v>
      </c>
    </row>
    <row r="86" spans="1:9" ht="11.25" customHeight="1">
      <c r="A86" s="6574" t="s">
        <v>2294</v>
      </c>
      <c r="B86" s="6574" t="s">
        <v>14</v>
      </c>
      <c r="C86" s="6574" t="s">
        <v>2512</v>
      </c>
      <c r="D86" s="6574" t="s">
        <v>2513</v>
      </c>
      <c r="E86" s="6574" t="s">
        <v>2514</v>
      </c>
      <c r="F86" s="6574" t="s">
        <v>2515</v>
      </c>
      <c r="G86" s="6574" t="s">
        <v>24</v>
      </c>
      <c r="H86" s="6574" t="s">
        <v>24</v>
      </c>
      <c r="I86" s="6574" t="s">
        <v>885</v>
      </c>
    </row>
    <row r="87" spans="1:9" ht="11.25" customHeight="1">
      <c r="A87" s="6574" t="s">
        <v>2294</v>
      </c>
      <c r="B87" s="6574" t="s">
        <v>14</v>
      </c>
      <c r="C87" s="6574" t="s">
        <v>2304</v>
      </c>
      <c r="D87" s="6574" t="s">
        <v>2305</v>
      </c>
      <c r="E87" s="6574" t="s">
        <v>2306</v>
      </c>
      <c r="F87" s="6574" t="s">
        <v>2307</v>
      </c>
      <c r="G87" s="6574" t="s">
        <v>24</v>
      </c>
      <c r="H87" s="6574" t="s">
        <v>24</v>
      </c>
      <c r="I87" s="6574" t="s">
        <v>885</v>
      </c>
    </row>
    <row r="88" spans="1:9" ht="11.25" customHeight="1">
      <c r="A88" s="6574" t="s">
        <v>2294</v>
      </c>
      <c r="B88" s="6574" t="s">
        <v>14</v>
      </c>
      <c r="C88" s="6574" t="s">
        <v>2516</v>
      </c>
      <c r="D88" s="6574" t="s">
        <v>2517</v>
      </c>
      <c r="E88" s="6574" t="s">
        <v>2518</v>
      </c>
      <c r="F88" s="6574" t="s">
        <v>2402</v>
      </c>
      <c r="G88" s="6574" t="s">
        <v>2519</v>
      </c>
      <c r="H88" s="6574" t="s">
        <v>24</v>
      </c>
      <c r="I88" s="6574" t="s">
        <v>885</v>
      </c>
    </row>
    <row r="89" spans="1:9" ht="11.25" customHeight="1">
      <c r="A89" s="6574" t="s">
        <v>2294</v>
      </c>
      <c r="B89" s="6574" t="s">
        <v>14</v>
      </c>
      <c r="C89" s="6574" t="s">
        <v>2520</v>
      </c>
      <c r="D89" s="6574" t="s">
        <v>2521</v>
      </c>
      <c r="E89" s="6574" t="s">
        <v>2522</v>
      </c>
      <c r="F89" s="6574" t="s">
        <v>2515</v>
      </c>
      <c r="G89" s="6574" t="s">
        <v>2523</v>
      </c>
      <c r="H89" s="6574" t="s">
        <v>24</v>
      </c>
      <c r="I89" s="6574" t="s">
        <v>885</v>
      </c>
    </row>
    <row r="90" spans="1:9" ht="11.25" customHeight="1">
      <c r="A90" s="6574" t="s">
        <v>2294</v>
      </c>
      <c r="B90" s="6574" t="s">
        <v>14</v>
      </c>
      <c r="C90" s="6574" t="s">
        <v>2308</v>
      </c>
      <c r="D90" s="6574" t="s">
        <v>2309</v>
      </c>
      <c r="E90" s="6574" t="s">
        <v>2310</v>
      </c>
      <c r="F90" s="6574" t="s">
        <v>50</v>
      </c>
      <c r="G90" s="6574" t="s">
        <v>24</v>
      </c>
      <c r="H90" s="6574" t="s">
        <v>2311</v>
      </c>
      <c r="I90" s="6574" t="s">
        <v>885</v>
      </c>
    </row>
    <row r="91" spans="1:9" ht="11.25" customHeight="1">
      <c r="A91" s="6574" t="s">
        <v>2294</v>
      </c>
      <c r="B91" s="6574" t="s">
        <v>14</v>
      </c>
      <c r="C91" s="6574" t="s">
        <v>2312</v>
      </c>
      <c r="D91" s="6574" t="s">
        <v>2313</v>
      </c>
      <c r="E91" s="6574" t="s">
        <v>2314</v>
      </c>
      <c r="F91" s="6574" t="s">
        <v>2315</v>
      </c>
      <c r="G91" s="6574" t="s">
        <v>24</v>
      </c>
      <c r="H91" s="6574" t="s">
        <v>24</v>
      </c>
      <c r="I91" s="6574" t="s">
        <v>885</v>
      </c>
    </row>
    <row r="92" spans="1:9" ht="11.25" customHeight="1">
      <c r="A92" s="6574" t="s">
        <v>2294</v>
      </c>
      <c r="B92" s="6574" t="s">
        <v>14</v>
      </c>
      <c r="C92" s="6574" t="s">
        <v>2316</v>
      </c>
      <c r="D92" s="6574" t="s">
        <v>2317</v>
      </c>
      <c r="E92" s="6574" t="s">
        <v>2318</v>
      </c>
      <c r="F92" s="6574" t="s">
        <v>2315</v>
      </c>
      <c r="G92" s="6574" t="s">
        <v>2319</v>
      </c>
      <c r="H92" s="6574" t="s">
        <v>2320</v>
      </c>
      <c r="I92" s="6574" t="s">
        <v>885</v>
      </c>
    </row>
    <row r="93" spans="1:9" ht="11.25" customHeight="1">
      <c r="A93" s="6574" t="s">
        <v>2294</v>
      </c>
      <c r="B93" s="6574" t="s">
        <v>14</v>
      </c>
      <c r="C93" s="6574" t="s">
        <v>2524</v>
      </c>
      <c r="D93" s="6574" t="s">
        <v>2525</v>
      </c>
      <c r="E93" s="6574" t="s">
        <v>2526</v>
      </c>
      <c r="F93" s="6574" t="s">
        <v>2406</v>
      </c>
      <c r="G93" s="6574" t="s">
        <v>2527</v>
      </c>
      <c r="H93" s="6574" t="s">
        <v>24</v>
      </c>
      <c r="I93" s="6574" t="s">
        <v>885</v>
      </c>
    </row>
    <row r="94" spans="1:9" ht="11.25" customHeight="1">
      <c r="A94" s="6574" t="s">
        <v>2294</v>
      </c>
      <c r="B94" s="6574" t="s">
        <v>14</v>
      </c>
      <c r="C94" s="6574" t="s">
        <v>2528</v>
      </c>
      <c r="D94" s="6574" t="s">
        <v>2529</v>
      </c>
      <c r="E94" s="6574" t="s">
        <v>2530</v>
      </c>
      <c r="F94" s="6574" t="s">
        <v>2331</v>
      </c>
      <c r="G94" s="6574" t="s">
        <v>24</v>
      </c>
      <c r="H94" s="6574" t="s">
        <v>24</v>
      </c>
      <c r="I94" s="6574" t="s">
        <v>885</v>
      </c>
    </row>
    <row r="95" spans="1:9" ht="11.25" customHeight="1">
      <c r="A95" s="6574" t="s">
        <v>2294</v>
      </c>
      <c r="B95" s="6574" t="s">
        <v>14</v>
      </c>
      <c r="C95" s="6574" t="s">
        <v>2531</v>
      </c>
      <c r="D95" s="6574" t="s">
        <v>2532</v>
      </c>
      <c r="E95" s="6574" t="s">
        <v>2533</v>
      </c>
      <c r="F95" s="6574" t="s">
        <v>2534</v>
      </c>
      <c r="G95" s="6574" t="s">
        <v>2535</v>
      </c>
      <c r="H95" s="6574" t="s">
        <v>24</v>
      </c>
      <c r="I95" s="6574" t="s">
        <v>885</v>
      </c>
    </row>
    <row r="96" spans="1:9" ht="11.25" customHeight="1">
      <c r="A96" s="6574" t="s">
        <v>2294</v>
      </c>
      <c r="B96" s="6574" t="s">
        <v>14</v>
      </c>
      <c r="C96" s="6574" t="s">
        <v>24</v>
      </c>
      <c r="D96" s="6574" t="s">
        <v>2321</v>
      </c>
      <c r="E96" s="6574" t="s">
        <v>2322</v>
      </c>
      <c r="F96" s="6574" t="s">
        <v>50</v>
      </c>
      <c r="G96" s="6574" t="s">
        <v>24</v>
      </c>
      <c r="H96" s="6574" t="s">
        <v>24</v>
      </c>
      <c r="I96" s="6574" t="s">
        <v>885</v>
      </c>
    </row>
    <row r="97" spans="1:9" ht="11.25" customHeight="1">
      <c r="A97" s="6574" t="s">
        <v>2294</v>
      </c>
      <c r="B97" s="6574" t="s">
        <v>14</v>
      </c>
      <c r="C97" s="6574" t="s">
        <v>2332</v>
      </c>
      <c r="D97" s="6574" t="s">
        <v>2333</v>
      </c>
      <c r="E97" s="6574" t="s">
        <v>2334</v>
      </c>
      <c r="F97" s="6574" t="s">
        <v>2335</v>
      </c>
      <c r="G97" s="6574" t="s">
        <v>2336</v>
      </c>
      <c r="H97" s="6574" t="s">
        <v>24</v>
      </c>
      <c r="I97" s="6574" t="s">
        <v>885</v>
      </c>
    </row>
    <row r="98" spans="1:9" ht="11.25" customHeight="1">
      <c r="A98" s="6574" t="s">
        <v>2294</v>
      </c>
      <c r="B98" s="6574" t="s">
        <v>14</v>
      </c>
      <c r="C98" s="6574" t="s">
        <v>2536</v>
      </c>
      <c r="D98" s="6574" t="s">
        <v>2537</v>
      </c>
      <c r="E98" s="6574" t="s">
        <v>2538</v>
      </c>
      <c r="F98" s="6574" t="s">
        <v>2539</v>
      </c>
      <c r="G98" s="6574" t="s">
        <v>2540</v>
      </c>
      <c r="H98" s="6574" t="s">
        <v>24</v>
      </c>
      <c r="I98" s="6574" t="s">
        <v>885</v>
      </c>
    </row>
    <row r="99" spans="1:9" ht="11.25" customHeight="1">
      <c r="A99" s="6574" t="s">
        <v>2294</v>
      </c>
      <c r="B99" s="6574" t="s">
        <v>14</v>
      </c>
      <c r="C99" s="6574" t="s">
        <v>2541</v>
      </c>
      <c r="D99" s="6574" t="s">
        <v>2542</v>
      </c>
      <c r="E99" s="6574" t="s">
        <v>2543</v>
      </c>
      <c r="F99" s="6574" t="s">
        <v>2434</v>
      </c>
      <c r="G99" s="6574" t="s">
        <v>2544</v>
      </c>
      <c r="H99" s="6574" t="s">
        <v>24</v>
      </c>
      <c r="I99" s="6574" t="s">
        <v>885</v>
      </c>
    </row>
    <row r="100" spans="1:9" ht="11.25" customHeight="1">
      <c r="A100" s="6574" t="s">
        <v>2294</v>
      </c>
      <c r="B100" s="6574" t="s">
        <v>14</v>
      </c>
      <c r="C100" s="6574" t="s">
        <v>2545</v>
      </c>
      <c r="D100" s="6574" t="s">
        <v>2546</v>
      </c>
      <c r="E100" s="6574" t="s">
        <v>2547</v>
      </c>
      <c r="F100" s="6574" t="s">
        <v>2326</v>
      </c>
      <c r="G100" s="6574" t="s">
        <v>2548</v>
      </c>
      <c r="H100" s="6574" t="s">
        <v>24</v>
      </c>
      <c r="I100" s="6574" t="s">
        <v>885</v>
      </c>
    </row>
    <row r="101" spans="1:9" ht="11.25" customHeight="1">
      <c r="A101" s="6574" t="s">
        <v>2294</v>
      </c>
      <c r="B101" s="6574" t="s">
        <v>14</v>
      </c>
      <c r="C101" s="6574" t="s">
        <v>2549</v>
      </c>
      <c r="D101" s="6574" t="s">
        <v>2546</v>
      </c>
      <c r="E101" s="6574" t="s">
        <v>2550</v>
      </c>
      <c r="F101" s="6574" t="s">
        <v>2402</v>
      </c>
      <c r="G101" s="6574" t="s">
        <v>2519</v>
      </c>
      <c r="H101" s="6574" t="s">
        <v>24</v>
      </c>
      <c r="I101" s="6574" t="s">
        <v>885</v>
      </c>
    </row>
    <row r="102" spans="1:9" ht="11.25" customHeight="1">
      <c r="A102" s="6574" t="s">
        <v>2294</v>
      </c>
      <c r="B102" s="6574" t="s">
        <v>14</v>
      </c>
      <c r="C102" s="6574" t="s">
        <v>2551</v>
      </c>
      <c r="D102" s="6574" t="s">
        <v>2546</v>
      </c>
      <c r="E102" s="6574" t="s">
        <v>2552</v>
      </c>
      <c r="F102" s="6574" t="s">
        <v>50</v>
      </c>
      <c r="G102" s="6574" t="s">
        <v>2553</v>
      </c>
      <c r="H102" s="6574" t="s">
        <v>24</v>
      </c>
      <c r="I102" s="6574" t="s">
        <v>885</v>
      </c>
    </row>
    <row r="103" spans="1:9" ht="11.25" customHeight="1">
      <c r="A103" s="6574" t="s">
        <v>2294</v>
      </c>
      <c r="B103" s="6574" t="s">
        <v>14</v>
      </c>
      <c r="C103" s="6574" t="s">
        <v>2554</v>
      </c>
      <c r="D103" s="6574" t="s">
        <v>2546</v>
      </c>
      <c r="E103" s="6574" t="s">
        <v>2555</v>
      </c>
      <c r="F103" s="6574" t="s">
        <v>2344</v>
      </c>
      <c r="G103" s="6574" t="s">
        <v>24</v>
      </c>
      <c r="H103" s="6574" t="s">
        <v>24</v>
      </c>
      <c r="I103" s="6574" t="s">
        <v>885</v>
      </c>
    </row>
    <row r="104" spans="1:9" ht="11.25" customHeight="1">
      <c r="A104" s="6574" t="s">
        <v>2294</v>
      </c>
      <c r="B104" s="6574" t="s">
        <v>14</v>
      </c>
      <c r="C104" s="6574" t="s">
        <v>2556</v>
      </c>
      <c r="D104" s="6574" t="s">
        <v>2557</v>
      </c>
      <c r="E104" s="6574" t="s">
        <v>2558</v>
      </c>
      <c r="F104" s="6574" t="s">
        <v>2358</v>
      </c>
      <c r="G104" s="6574" t="s">
        <v>24</v>
      </c>
      <c r="H104" s="6574" t="s">
        <v>24</v>
      </c>
      <c r="I104" s="6574" t="s">
        <v>885</v>
      </c>
    </row>
    <row r="105" spans="1:9" ht="11.25" customHeight="1">
      <c r="A105" s="6574" t="s">
        <v>2294</v>
      </c>
      <c r="B105" s="6574" t="s">
        <v>14</v>
      </c>
      <c r="C105" s="6574" t="s">
        <v>2559</v>
      </c>
      <c r="D105" s="6574" t="s">
        <v>2560</v>
      </c>
      <c r="E105" s="6574" t="s">
        <v>2561</v>
      </c>
      <c r="F105" s="6574" t="s">
        <v>2406</v>
      </c>
      <c r="G105" s="6574" t="s">
        <v>24</v>
      </c>
      <c r="H105" s="6574" t="s">
        <v>24</v>
      </c>
      <c r="I105" s="6574" t="s">
        <v>885</v>
      </c>
    </row>
    <row r="106" spans="1:9" ht="11.25" customHeight="1">
      <c r="A106" s="6574" t="s">
        <v>2294</v>
      </c>
      <c r="B106" s="6574" t="s">
        <v>14</v>
      </c>
      <c r="C106" s="6574" t="s">
        <v>2562</v>
      </c>
      <c r="D106" s="6574" t="s">
        <v>2563</v>
      </c>
      <c r="E106" s="6574" t="s">
        <v>2564</v>
      </c>
      <c r="F106" s="6574" t="s">
        <v>2539</v>
      </c>
      <c r="G106" s="6574" t="s">
        <v>2565</v>
      </c>
      <c r="H106" s="6574" t="s">
        <v>24</v>
      </c>
      <c r="I106" s="6574" t="s">
        <v>885</v>
      </c>
    </row>
    <row r="107" spans="1:9" ht="11.25" customHeight="1">
      <c r="A107" s="6574" t="s">
        <v>2294</v>
      </c>
      <c r="B107" s="6574" t="s">
        <v>14</v>
      </c>
      <c r="C107" s="6574" t="s">
        <v>2341</v>
      </c>
      <c r="D107" s="6574" t="s">
        <v>2342</v>
      </c>
      <c r="E107" s="6574" t="s">
        <v>2343</v>
      </c>
      <c r="F107" s="6574" t="s">
        <v>2344</v>
      </c>
      <c r="G107" s="6574" t="s">
        <v>2345</v>
      </c>
      <c r="H107" s="6574" t="s">
        <v>24</v>
      </c>
      <c r="I107" s="6574" t="s">
        <v>885</v>
      </c>
    </row>
    <row r="108" spans="1:9" ht="11.25" customHeight="1">
      <c r="A108" s="6574" t="s">
        <v>2294</v>
      </c>
      <c r="B108" s="6574" t="s">
        <v>14</v>
      </c>
      <c r="C108" s="6574" t="s">
        <v>2566</v>
      </c>
      <c r="D108" s="6574" t="s">
        <v>2567</v>
      </c>
      <c r="E108" s="6574" t="s">
        <v>2568</v>
      </c>
      <c r="F108" s="6574" t="s">
        <v>2326</v>
      </c>
      <c r="G108" s="6574" t="s">
        <v>2569</v>
      </c>
      <c r="H108" s="6574" t="s">
        <v>24</v>
      </c>
      <c r="I108" s="6574" t="s">
        <v>885</v>
      </c>
    </row>
    <row r="109" spans="1:9" ht="11.25" customHeight="1">
      <c r="A109" s="6574" t="s">
        <v>2294</v>
      </c>
      <c r="B109" s="6574" t="s">
        <v>14</v>
      </c>
      <c r="C109" s="6574" t="s">
        <v>2570</v>
      </c>
      <c r="D109" s="6574" t="s">
        <v>2571</v>
      </c>
      <c r="E109" s="6574" t="s">
        <v>2572</v>
      </c>
      <c r="F109" s="6574" t="s">
        <v>2426</v>
      </c>
      <c r="G109" s="6574" t="s">
        <v>2573</v>
      </c>
      <c r="H109" s="6574" t="s">
        <v>24</v>
      </c>
      <c r="I109" s="6574" t="s">
        <v>885</v>
      </c>
    </row>
    <row r="110" spans="1:9" ht="11.25" customHeight="1">
      <c r="A110" s="6574" t="s">
        <v>2294</v>
      </c>
      <c r="B110" s="6574" t="s">
        <v>14</v>
      </c>
      <c r="C110" s="6574" t="s">
        <v>2574</v>
      </c>
      <c r="D110" s="6574" t="s">
        <v>2575</v>
      </c>
      <c r="E110" s="6574" t="s">
        <v>2576</v>
      </c>
      <c r="F110" s="6574" t="s">
        <v>2577</v>
      </c>
      <c r="G110" s="6574" t="s">
        <v>2578</v>
      </c>
      <c r="H110" s="6574" t="s">
        <v>24</v>
      </c>
      <c r="I110" s="6574" t="s">
        <v>885</v>
      </c>
    </row>
    <row r="111" spans="1:9" ht="11.25" customHeight="1">
      <c r="A111" s="6574" t="s">
        <v>2294</v>
      </c>
      <c r="B111" s="6574" t="s">
        <v>14</v>
      </c>
      <c r="C111" s="6574" t="s">
        <v>2579</v>
      </c>
      <c r="D111" s="6574" t="s">
        <v>2580</v>
      </c>
      <c r="E111" s="6574" t="s">
        <v>2581</v>
      </c>
      <c r="F111" s="6574" t="s">
        <v>2534</v>
      </c>
      <c r="G111" s="6574" t="s">
        <v>2582</v>
      </c>
      <c r="H111" s="6574" t="s">
        <v>24</v>
      </c>
      <c r="I111" s="6574" t="s">
        <v>885</v>
      </c>
    </row>
    <row r="112" spans="1:9" ht="11.25" customHeight="1">
      <c r="A112" s="6574" t="s">
        <v>2294</v>
      </c>
      <c r="B112" s="6574" t="s">
        <v>14</v>
      </c>
      <c r="C112" s="6574" t="s">
        <v>2355</v>
      </c>
      <c r="D112" s="6574" t="s">
        <v>2356</v>
      </c>
      <c r="E112" s="6574" t="s">
        <v>2357</v>
      </c>
      <c r="F112" s="6574" t="s">
        <v>2358</v>
      </c>
      <c r="G112" s="6574" t="s">
        <v>24</v>
      </c>
      <c r="H112" s="6574" t="s">
        <v>24</v>
      </c>
      <c r="I112" s="6574" t="s">
        <v>885</v>
      </c>
    </row>
    <row r="113" spans="1:9" ht="11.25" customHeight="1">
      <c r="A113" s="6574" t="s">
        <v>2294</v>
      </c>
      <c r="B113" s="6574" t="s">
        <v>14</v>
      </c>
      <c r="C113" s="6574" t="s">
        <v>2359</v>
      </c>
      <c r="D113" s="6574" t="s">
        <v>2360</v>
      </c>
      <c r="E113" s="6574" t="s">
        <v>2361</v>
      </c>
      <c r="F113" s="6574" t="s">
        <v>2362</v>
      </c>
      <c r="G113" s="6574" t="s">
        <v>2363</v>
      </c>
      <c r="H113" s="6574" t="s">
        <v>24</v>
      </c>
      <c r="I113" s="6574" t="s">
        <v>885</v>
      </c>
    </row>
    <row r="114" spans="1:9" ht="11.25" customHeight="1">
      <c r="A114" s="6574" t="s">
        <v>2294</v>
      </c>
      <c r="B114" s="6574" t="s">
        <v>14</v>
      </c>
      <c r="C114" s="6574" t="s">
        <v>2583</v>
      </c>
      <c r="D114" s="6574" t="s">
        <v>2584</v>
      </c>
      <c r="E114" s="6574" t="s">
        <v>2585</v>
      </c>
      <c r="F114" s="6574" t="s">
        <v>2378</v>
      </c>
      <c r="G114" s="6574" t="s">
        <v>2586</v>
      </c>
      <c r="H114" s="6574" t="s">
        <v>24</v>
      </c>
      <c r="I114" s="6574" t="s">
        <v>885</v>
      </c>
    </row>
    <row r="115" spans="1:9" ht="11.25" customHeight="1">
      <c r="A115" s="6574" t="s">
        <v>2294</v>
      </c>
      <c r="B115" s="6574" t="s">
        <v>14</v>
      </c>
      <c r="C115" s="6574" t="s">
        <v>2587</v>
      </c>
      <c r="D115" s="6574" t="s">
        <v>2588</v>
      </c>
      <c r="E115" s="6574" t="s">
        <v>2589</v>
      </c>
      <c r="F115" s="6574" t="s">
        <v>2315</v>
      </c>
      <c r="G115" s="6574" t="s">
        <v>2590</v>
      </c>
      <c r="H115" s="6574" t="s">
        <v>24</v>
      </c>
      <c r="I115" s="6574" t="s">
        <v>885</v>
      </c>
    </row>
    <row r="116" spans="1:9" ht="11.25" customHeight="1">
      <c r="A116" s="6574" t="s">
        <v>2294</v>
      </c>
      <c r="B116" s="6574" t="s">
        <v>14</v>
      </c>
      <c r="C116" s="6574" t="s">
        <v>2380</v>
      </c>
      <c r="D116" s="6574" t="s">
        <v>2381</v>
      </c>
      <c r="E116" s="6574" t="s">
        <v>2382</v>
      </c>
      <c r="F116" s="6574" t="s">
        <v>50</v>
      </c>
      <c r="G116" s="6574" t="s">
        <v>2383</v>
      </c>
      <c r="H116" s="6574" t="s">
        <v>24</v>
      </c>
      <c r="I116" s="6574" t="s">
        <v>885</v>
      </c>
    </row>
    <row r="117" spans="1:9" ht="11.25" customHeight="1">
      <c r="A117" s="6574" t="s">
        <v>2294</v>
      </c>
      <c r="B117" s="6574" t="s">
        <v>14</v>
      </c>
      <c r="C117" s="6574" t="s">
        <v>2591</v>
      </c>
      <c r="D117" s="6574" t="s">
        <v>2592</v>
      </c>
      <c r="E117" s="6574" t="s">
        <v>2593</v>
      </c>
      <c r="F117" s="6574" t="s">
        <v>2406</v>
      </c>
      <c r="G117" s="6574" t="s">
        <v>2594</v>
      </c>
      <c r="H117" s="6574" t="s">
        <v>24</v>
      </c>
      <c r="I117" s="6574" t="s">
        <v>885</v>
      </c>
    </row>
    <row r="118" spans="1:9" ht="11.25" customHeight="1">
      <c r="A118" s="6574" t="s">
        <v>2294</v>
      </c>
      <c r="B118" s="6574" t="s">
        <v>14</v>
      </c>
      <c r="C118" s="6574" t="s">
        <v>2595</v>
      </c>
      <c r="D118" s="6574" t="s">
        <v>2596</v>
      </c>
      <c r="E118" s="6574" t="s">
        <v>2597</v>
      </c>
      <c r="F118" s="6574" t="s">
        <v>2515</v>
      </c>
      <c r="G118" s="6574" t="s">
        <v>24</v>
      </c>
      <c r="H118" s="6574" t="s">
        <v>24</v>
      </c>
      <c r="I118" s="6574" t="s">
        <v>885</v>
      </c>
    </row>
    <row r="119" spans="1:9" ht="11.25" customHeight="1">
      <c r="A119" s="6574" t="s">
        <v>2294</v>
      </c>
      <c r="B119" s="6574" t="s">
        <v>14</v>
      </c>
      <c r="C119" s="6574" t="s">
        <v>2598</v>
      </c>
      <c r="D119" s="6574" t="s">
        <v>2599</v>
      </c>
      <c r="E119" s="6574" t="s">
        <v>2600</v>
      </c>
      <c r="F119" s="6574" t="s">
        <v>50</v>
      </c>
      <c r="G119" s="6574" t="s">
        <v>24</v>
      </c>
      <c r="H119" s="6574" t="s">
        <v>24</v>
      </c>
      <c r="I119" s="6574" t="s">
        <v>885</v>
      </c>
    </row>
    <row r="120" spans="1:9" ht="11.25" customHeight="1">
      <c r="A120" s="6574" t="s">
        <v>2294</v>
      </c>
      <c r="B120" s="6574" t="s">
        <v>14</v>
      </c>
      <c r="C120" s="6574" t="s">
        <v>2601</v>
      </c>
      <c r="D120" s="6574" t="s">
        <v>2602</v>
      </c>
      <c r="E120" s="6574" t="s">
        <v>2603</v>
      </c>
      <c r="F120" s="6574" t="s">
        <v>2539</v>
      </c>
      <c r="G120" s="6574" t="s">
        <v>2604</v>
      </c>
      <c r="H120" s="6574" t="s">
        <v>24</v>
      </c>
      <c r="I120" s="6574" t="s">
        <v>885</v>
      </c>
    </row>
    <row r="121" spans="1:9" ht="11.25" customHeight="1">
      <c r="A121" s="6574" t="s">
        <v>2294</v>
      </c>
      <c r="B121" s="6574" t="s">
        <v>14</v>
      </c>
      <c r="C121" s="6574" t="s">
        <v>2605</v>
      </c>
      <c r="D121" s="6574" t="s">
        <v>2606</v>
      </c>
      <c r="E121" s="6574" t="s">
        <v>2607</v>
      </c>
      <c r="F121" s="6574" t="s">
        <v>2326</v>
      </c>
      <c r="G121" s="6574" t="s">
        <v>2608</v>
      </c>
      <c r="H121" s="6574" t="s">
        <v>24</v>
      </c>
      <c r="I121" s="6574" t="s">
        <v>885</v>
      </c>
    </row>
    <row r="122" spans="1:9" ht="11.25" customHeight="1">
      <c r="A122" s="6574" t="s">
        <v>2294</v>
      </c>
      <c r="B122" s="6574" t="s">
        <v>14</v>
      </c>
      <c r="C122" s="6574" t="s">
        <v>2609</v>
      </c>
      <c r="D122" s="6574" t="s">
        <v>2610</v>
      </c>
      <c r="E122" s="6574" t="s">
        <v>2611</v>
      </c>
      <c r="F122" s="6574" t="s">
        <v>2326</v>
      </c>
      <c r="G122" s="6574" t="s">
        <v>2612</v>
      </c>
      <c r="H122" s="6574" t="s">
        <v>24</v>
      </c>
      <c r="I122" s="6574" t="s">
        <v>885</v>
      </c>
    </row>
    <row r="123" spans="1:9" ht="11.25" customHeight="1">
      <c r="A123" s="6574" t="s">
        <v>2294</v>
      </c>
      <c r="B123" s="6574" t="s">
        <v>14</v>
      </c>
      <c r="C123" s="6574" t="s">
        <v>2391</v>
      </c>
      <c r="D123" s="6574" t="s">
        <v>2392</v>
      </c>
      <c r="E123" s="6574" t="s">
        <v>2393</v>
      </c>
      <c r="F123" s="6574" t="s">
        <v>2331</v>
      </c>
      <c r="G123" s="6574" t="s">
        <v>2394</v>
      </c>
      <c r="H123" s="6574" t="s">
        <v>24</v>
      </c>
      <c r="I123" s="6574" t="s">
        <v>885</v>
      </c>
    </row>
    <row r="124" spans="1:9" ht="11.25" customHeight="1">
      <c r="A124" s="6574" t="s">
        <v>2294</v>
      </c>
      <c r="B124" s="6574" t="s">
        <v>14</v>
      </c>
      <c r="C124" s="6574" t="s">
        <v>2613</v>
      </c>
      <c r="D124" s="6574" t="s">
        <v>2614</v>
      </c>
      <c r="E124" s="6574" t="s">
        <v>2615</v>
      </c>
      <c r="F124" s="6574" t="s">
        <v>2577</v>
      </c>
      <c r="G124" s="6574" t="s">
        <v>24</v>
      </c>
      <c r="H124" s="6574" t="s">
        <v>24</v>
      </c>
      <c r="I124" s="6574" t="s">
        <v>885</v>
      </c>
    </row>
    <row r="125" spans="1:9" ht="11.25" customHeight="1">
      <c r="A125" s="6574" t="s">
        <v>2294</v>
      </c>
      <c r="B125" s="6574" t="s">
        <v>14</v>
      </c>
      <c r="C125" s="6574" t="s">
        <v>2616</v>
      </c>
      <c r="D125" s="6574" t="s">
        <v>2617</v>
      </c>
      <c r="E125" s="6574" t="s">
        <v>2618</v>
      </c>
      <c r="F125" s="6574" t="s">
        <v>2390</v>
      </c>
      <c r="G125" s="6574" t="s">
        <v>2619</v>
      </c>
      <c r="H125" s="6574" t="s">
        <v>24</v>
      </c>
      <c r="I125" s="6574" t="s">
        <v>885</v>
      </c>
    </row>
    <row r="126" spans="1:9" ht="11.25" customHeight="1">
      <c r="A126" s="6574" t="s">
        <v>2294</v>
      </c>
      <c r="B126" s="6574" t="s">
        <v>14</v>
      </c>
      <c r="C126" s="6574" t="s">
        <v>2620</v>
      </c>
      <c r="D126" s="6574" t="s">
        <v>2621</v>
      </c>
      <c r="E126" s="6574" t="s">
        <v>2622</v>
      </c>
      <c r="F126" s="6574" t="s">
        <v>2358</v>
      </c>
      <c r="G126" s="6574" t="s">
        <v>24</v>
      </c>
      <c r="H126" s="6574" t="s">
        <v>24</v>
      </c>
      <c r="I126" s="6574" t="s">
        <v>885</v>
      </c>
    </row>
    <row r="127" spans="1:9" ht="11.25" customHeight="1">
      <c r="A127" s="6574" t="s">
        <v>2294</v>
      </c>
      <c r="B127" s="6574" t="s">
        <v>14</v>
      </c>
      <c r="C127" s="6574" t="s">
        <v>2623</v>
      </c>
      <c r="D127" s="6574" t="s">
        <v>2624</v>
      </c>
      <c r="E127" s="6574" t="s">
        <v>2625</v>
      </c>
      <c r="F127" s="6574" t="s">
        <v>2515</v>
      </c>
      <c r="G127" s="6574" t="s">
        <v>2626</v>
      </c>
      <c r="H127" s="6574" t="s">
        <v>2627</v>
      </c>
      <c r="I127" s="6574" t="s">
        <v>885</v>
      </c>
    </row>
    <row r="128" spans="1:9" ht="11.25" customHeight="1">
      <c r="A128" s="6574" t="s">
        <v>2294</v>
      </c>
      <c r="B128" s="6574" t="s">
        <v>14</v>
      </c>
      <c r="C128" s="6574" t="s">
        <v>2628</v>
      </c>
      <c r="D128" s="6574" t="s">
        <v>2629</v>
      </c>
      <c r="E128" s="6574" t="s">
        <v>2630</v>
      </c>
      <c r="F128" s="6574" t="s">
        <v>2577</v>
      </c>
      <c r="G128" s="6574" t="s">
        <v>24</v>
      </c>
      <c r="H128" s="6574" t="s">
        <v>24</v>
      </c>
      <c r="I128" s="6574" t="s">
        <v>885</v>
      </c>
    </row>
    <row r="129" spans="1:9" ht="11.25" customHeight="1">
      <c r="A129" s="6574" t="s">
        <v>2294</v>
      </c>
      <c r="B129" s="6574" t="s">
        <v>14</v>
      </c>
      <c r="C129" s="6574" t="s">
        <v>2631</v>
      </c>
      <c r="D129" s="6574" t="s">
        <v>2632</v>
      </c>
      <c r="E129" s="6574" t="s">
        <v>2633</v>
      </c>
      <c r="F129" s="6574" t="s">
        <v>2315</v>
      </c>
      <c r="G129" s="6574" t="s">
        <v>2634</v>
      </c>
      <c r="H129" s="6574" t="s">
        <v>24</v>
      </c>
      <c r="I129" s="6574" t="s">
        <v>885</v>
      </c>
    </row>
    <row r="130" spans="1:9" ht="11.25" customHeight="1">
      <c r="A130" s="6574" t="s">
        <v>2294</v>
      </c>
      <c r="B130" s="6574" t="s">
        <v>14</v>
      </c>
      <c r="C130" s="6574" t="s">
        <v>2635</v>
      </c>
      <c r="D130" s="6574" t="s">
        <v>2636</v>
      </c>
      <c r="E130" s="6574" t="s">
        <v>2637</v>
      </c>
      <c r="F130" s="6574" t="s">
        <v>2539</v>
      </c>
      <c r="G130" s="6574" t="s">
        <v>2638</v>
      </c>
      <c r="H130" s="6574" t="s">
        <v>24</v>
      </c>
      <c r="I130" s="6574" t="s">
        <v>885</v>
      </c>
    </row>
    <row r="131" spans="1:9" ht="11.25" customHeight="1">
      <c r="A131" s="6574" t="s">
        <v>2294</v>
      </c>
      <c r="B131" s="6574" t="s">
        <v>14</v>
      </c>
      <c r="C131" s="6574" t="s">
        <v>2639</v>
      </c>
      <c r="D131" s="6574" t="s">
        <v>2640</v>
      </c>
      <c r="E131" s="6574" t="s">
        <v>2641</v>
      </c>
      <c r="F131" s="6574" t="s">
        <v>2539</v>
      </c>
      <c r="G131" s="6574" t="s">
        <v>2642</v>
      </c>
      <c r="H131" s="6574" t="s">
        <v>24</v>
      </c>
      <c r="I131" s="6574" t="s">
        <v>885</v>
      </c>
    </row>
    <row r="132" spans="1:9" ht="11.25" customHeight="1">
      <c r="A132" s="6574" t="s">
        <v>2294</v>
      </c>
      <c r="B132" s="6574" t="s">
        <v>14</v>
      </c>
      <c r="C132" s="6574" t="s">
        <v>2643</v>
      </c>
      <c r="D132" s="6574" t="s">
        <v>2644</v>
      </c>
      <c r="E132" s="6574" t="s">
        <v>2645</v>
      </c>
      <c r="F132" s="6574" t="s">
        <v>2577</v>
      </c>
      <c r="G132" s="6574" t="s">
        <v>24</v>
      </c>
      <c r="H132" s="6574" t="s">
        <v>24</v>
      </c>
      <c r="I132" s="6574" t="s">
        <v>885</v>
      </c>
    </row>
    <row r="133" spans="1:9" ht="11.25" customHeight="1">
      <c r="A133" s="6574" t="s">
        <v>2294</v>
      </c>
      <c r="B133" s="6574" t="s">
        <v>14</v>
      </c>
      <c r="C133" s="6574" t="s">
        <v>2646</v>
      </c>
      <c r="D133" s="6574" t="s">
        <v>2647</v>
      </c>
      <c r="E133" s="6574" t="s">
        <v>2648</v>
      </c>
      <c r="F133" s="6574" t="s">
        <v>2577</v>
      </c>
      <c r="G133" s="6574" t="s">
        <v>24</v>
      </c>
      <c r="H133" s="6574" t="s">
        <v>24</v>
      </c>
      <c r="I133" s="6574" t="s">
        <v>885</v>
      </c>
    </row>
    <row r="134" spans="1:9" ht="11.25" customHeight="1">
      <c r="A134" s="6574" t="s">
        <v>2294</v>
      </c>
      <c r="B134" s="6574" t="s">
        <v>14</v>
      </c>
      <c r="C134" s="6574" t="s">
        <v>2649</v>
      </c>
      <c r="D134" s="6574" t="s">
        <v>2650</v>
      </c>
      <c r="E134" s="6574" t="s">
        <v>2651</v>
      </c>
      <c r="F134" s="6574" t="s">
        <v>2652</v>
      </c>
      <c r="G134" s="6574" t="s">
        <v>2653</v>
      </c>
      <c r="H134" s="6574" t="s">
        <v>24</v>
      </c>
      <c r="I134" s="6574" t="s">
        <v>885</v>
      </c>
    </row>
    <row r="135" spans="1:9" ht="11.25" customHeight="1">
      <c r="A135" s="6574" t="s">
        <v>2294</v>
      </c>
      <c r="B135" s="6574" t="s">
        <v>14</v>
      </c>
      <c r="C135" s="6574" t="s">
        <v>2654</v>
      </c>
      <c r="D135" s="6574" t="s">
        <v>2655</v>
      </c>
      <c r="E135" s="6574" t="s">
        <v>2656</v>
      </c>
      <c r="F135" s="6574" t="s">
        <v>2657</v>
      </c>
      <c r="G135" s="6574" t="s">
        <v>24</v>
      </c>
      <c r="H135" s="6574" t="s">
        <v>24</v>
      </c>
      <c r="I135" s="6574" t="s">
        <v>885</v>
      </c>
    </row>
    <row r="136" spans="1:9" ht="11.25" customHeight="1">
      <c r="A136" s="6574" t="s">
        <v>2294</v>
      </c>
      <c r="B136" s="6574" t="s">
        <v>14</v>
      </c>
      <c r="C136" s="6574" t="s">
        <v>2658</v>
      </c>
      <c r="D136" s="6574" t="s">
        <v>2659</v>
      </c>
      <c r="E136" s="6574" t="s">
        <v>2660</v>
      </c>
      <c r="F136" s="6574" t="s">
        <v>2661</v>
      </c>
      <c r="G136" s="6574" t="s">
        <v>2662</v>
      </c>
      <c r="H136" s="6574" t="s">
        <v>24</v>
      </c>
      <c r="I136" s="6574" t="s">
        <v>885</v>
      </c>
    </row>
    <row r="137" spans="1:9" ht="11.25" customHeight="1">
      <c r="A137" s="6574" t="s">
        <v>2294</v>
      </c>
      <c r="B137" s="6574" t="s">
        <v>14</v>
      </c>
      <c r="C137" s="6574" t="s">
        <v>2663</v>
      </c>
      <c r="D137" s="6574" t="s">
        <v>2664</v>
      </c>
      <c r="E137" s="6574" t="s">
        <v>2665</v>
      </c>
      <c r="F137" s="6574" t="s">
        <v>2515</v>
      </c>
      <c r="G137" s="6574" t="s">
        <v>24</v>
      </c>
      <c r="H137" s="6574" t="s">
        <v>24</v>
      </c>
      <c r="I137" s="6574" t="s">
        <v>885</v>
      </c>
    </row>
    <row r="138" spans="1:9" ht="11.25" customHeight="1">
      <c r="A138" s="6574" t="s">
        <v>2294</v>
      </c>
      <c r="B138" s="6574" t="s">
        <v>14</v>
      </c>
      <c r="C138" s="6574" t="s">
        <v>2666</v>
      </c>
      <c r="D138" s="6574" t="s">
        <v>2667</v>
      </c>
      <c r="E138" s="6574" t="s">
        <v>2668</v>
      </c>
      <c r="F138" s="6574" t="s">
        <v>2315</v>
      </c>
      <c r="G138" s="6574" t="s">
        <v>24</v>
      </c>
      <c r="H138" s="6574" t="s">
        <v>24</v>
      </c>
      <c r="I138" s="6574" t="s">
        <v>885</v>
      </c>
    </row>
    <row r="139" spans="1:9" ht="11.25" customHeight="1">
      <c r="A139" s="6574" t="s">
        <v>2294</v>
      </c>
      <c r="B139" s="6574" t="s">
        <v>14</v>
      </c>
      <c r="C139" s="6574" t="s">
        <v>2417</v>
      </c>
      <c r="D139" s="6574" t="s">
        <v>2418</v>
      </c>
      <c r="E139" s="6574" t="s">
        <v>2419</v>
      </c>
      <c r="F139" s="6574" t="s">
        <v>2315</v>
      </c>
      <c r="G139" s="6574" t="s">
        <v>24</v>
      </c>
      <c r="H139" s="6574" t="s">
        <v>24</v>
      </c>
      <c r="I139" s="6574" t="s">
        <v>885</v>
      </c>
    </row>
    <row r="140" spans="1:9" ht="11.25" customHeight="1">
      <c r="A140" s="6574" t="s">
        <v>2294</v>
      </c>
      <c r="B140" s="6574" t="s">
        <v>14</v>
      </c>
      <c r="C140" s="6574" t="s">
        <v>2420</v>
      </c>
      <c r="D140" s="6574" t="s">
        <v>2421</v>
      </c>
      <c r="E140" s="6574" t="s">
        <v>2422</v>
      </c>
      <c r="F140" s="6574" t="s">
        <v>2315</v>
      </c>
      <c r="G140" s="6574" t="s">
        <v>24</v>
      </c>
      <c r="H140" s="6574" t="s">
        <v>24</v>
      </c>
      <c r="I140" s="6574" t="s">
        <v>885</v>
      </c>
    </row>
    <row r="141" spans="1:9" ht="11.25" customHeight="1">
      <c r="A141" s="6574" t="s">
        <v>2294</v>
      </c>
      <c r="B141" s="6574" t="s">
        <v>14</v>
      </c>
      <c r="C141" s="6574" t="s">
        <v>2669</v>
      </c>
      <c r="D141" s="6574" t="s">
        <v>2670</v>
      </c>
      <c r="E141" s="6574" t="s">
        <v>2671</v>
      </c>
      <c r="F141" s="6574" t="s">
        <v>2426</v>
      </c>
      <c r="G141" s="6574" t="s">
        <v>24</v>
      </c>
      <c r="H141" s="6574" t="s">
        <v>24</v>
      </c>
      <c r="I141" s="6574" t="s">
        <v>885</v>
      </c>
    </row>
    <row r="142" spans="1:9" ht="11.25" customHeight="1">
      <c r="A142" s="6574" t="s">
        <v>2294</v>
      </c>
      <c r="B142" s="6574" t="s">
        <v>14</v>
      </c>
      <c r="C142" s="6574" t="s">
        <v>2672</v>
      </c>
      <c r="D142" s="6574" t="s">
        <v>2673</v>
      </c>
      <c r="E142" s="6574" t="s">
        <v>2674</v>
      </c>
      <c r="F142" s="6574" t="s">
        <v>2406</v>
      </c>
      <c r="G142" s="6574" t="s">
        <v>24</v>
      </c>
      <c r="H142" s="6574" t="s">
        <v>24</v>
      </c>
      <c r="I142" s="6574" t="s">
        <v>885</v>
      </c>
    </row>
    <row r="143" spans="1:9" ht="11.25" customHeight="1">
      <c r="A143" s="6574" t="s">
        <v>2294</v>
      </c>
      <c r="B143" s="6574" t="s">
        <v>14</v>
      </c>
      <c r="C143" s="6574" t="s">
        <v>2675</v>
      </c>
      <c r="D143" s="6574" t="s">
        <v>2676</v>
      </c>
      <c r="E143" s="6574" t="s">
        <v>2677</v>
      </c>
      <c r="F143" s="6574" t="s">
        <v>2390</v>
      </c>
      <c r="G143" s="6574" t="s">
        <v>2678</v>
      </c>
      <c r="H143" s="6574" t="s">
        <v>24</v>
      </c>
      <c r="I143" s="6574" t="s">
        <v>885</v>
      </c>
    </row>
    <row r="144" spans="1:9" ht="11.25" customHeight="1">
      <c r="A144" s="6574" t="s">
        <v>2294</v>
      </c>
      <c r="B144" s="6574" t="s">
        <v>14</v>
      </c>
      <c r="C144" s="6574" t="s">
        <v>2679</v>
      </c>
      <c r="D144" s="6574" t="s">
        <v>2680</v>
      </c>
      <c r="E144" s="6574" t="s">
        <v>2681</v>
      </c>
      <c r="F144" s="6574" t="s">
        <v>2577</v>
      </c>
      <c r="G144" s="6574" t="s">
        <v>2682</v>
      </c>
      <c r="H144" s="6574" t="s">
        <v>24</v>
      </c>
      <c r="I144" s="6574" t="s">
        <v>885</v>
      </c>
    </row>
    <row r="145" spans="1:9" ht="11.25" customHeight="1">
      <c r="A145" s="6574" t="s">
        <v>2294</v>
      </c>
      <c r="B145" s="6574" t="s">
        <v>14</v>
      </c>
      <c r="C145" s="6574" t="s">
        <v>2683</v>
      </c>
      <c r="D145" s="6574" t="s">
        <v>2684</v>
      </c>
      <c r="E145" s="6574" t="s">
        <v>2685</v>
      </c>
      <c r="F145" s="6574" t="s">
        <v>2315</v>
      </c>
      <c r="G145" s="6574" t="s">
        <v>24</v>
      </c>
      <c r="H145" s="6574" t="s">
        <v>24</v>
      </c>
      <c r="I145" s="6574" t="s">
        <v>885</v>
      </c>
    </row>
    <row r="146" spans="1:9" ht="11.25" customHeight="1">
      <c r="A146" s="6574" t="s">
        <v>2294</v>
      </c>
      <c r="B146" s="6574" t="s">
        <v>14</v>
      </c>
      <c r="C146" s="6574" t="s">
        <v>2686</v>
      </c>
      <c r="D146" s="6574" t="s">
        <v>2687</v>
      </c>
      <c r="E146" s="6574" t="s">
        <v>2688</v>
      </c>
      <c r="F146" s="6574" t="s">
        <v>2362</v>
      </c>
      <c r="G146" s="6574" t="s">
        <v>24</v>
      </c>
      <c r="H146" s="6574" t="s">
        <v>2689</v>
      </c>
      <c r="I146" s="6574" t="s">
        <v>885</v>
      </c>
    </row>
    <row r="147" spans="1:9" ht="11.25" customHeight="1">
      <c r="A147" s="6574" t="s">
        <v>2294</v>
      </c>
      <c r="B147" s="6574" t="s">
        <v>14</v>
      </c>
      <c r="C147" s="6574" t="s">
        <v>2690</v>
      </c>
      <c r="D147" s="6574" t="s">
        <v>2691</v>
      </c>
      <c r="E147" s="6574" t="s">
        <v>2692</v>
      </c>
      <c r="F147" s="6574" t="s">
        <v>2406</v>
      </c>
      <c r="G147" s="6574" t="s">
        <v>2349</v>
      </c>
      <c r="H147" s="6574" t="s">
        <v>24</v>
      </c>
      <c r="I147" s="6574" t="s">
        <v>885</v>
      </c>
    </row>
    <row r="148" spans="1:9" ht="11.25" customHeight="1">
      <c r="A148" s="6574" t="s">
        <v>2294</v>
      </c>
      <c r="B148" s="6574" t="s">
        <v>14</v>
      </c>
      <c r="C148" s="6574" t="s">
        <v>2693</v>
      </c>
      <c r="D148" s="6574" t="s">
        <v>2694</v>
      </c>
      <c r="E148" s="6574" t="s">
        <v>2695</v>
      </c>
      <c r="F148" s="6574" t="s">
        <v>2515</v>
      </c>
      <c r="G148" s="6574" t="s">
        <v>24</v>
      </c>
      <c r="H148" s="6574" t="s">
        <v>24</v>
      </c>
      <c r="I148" s="6574" t="s">
        <v>885</v>
      </c>
    </row>
    <row r="149" spans="1:9" ht="11.25" customHeight="1">
      <c r="A149" s="6574" t="s">
        <v>2294</v>
      </c>
      <c r="B149" s="6574" t="s">
        <v>14</v>
      </c>
      <c r="C149" s="6574" t="s">
        <v>2443</v>
      </c>
      <c r="D149" s="6574" t="s">
        <v>2444</v>
      </c>
      <c r="E149" s="6574" t="s">
        <v>2445</v>
      </c>
      <c r="F149" s="6574" t="s">
        <v>2315</v>
      </c>
      <c r="G149" s="6574" t="s">
        <v>24</v>
      </c>
      <c r="H149" s="6574" t="s">
        <v>24</v>
      </c>
      <c r="I149" s="6574" t="s">
        <v>885</v>
      </c>
    </row>
    <row r="150" spans="1:9" ht="11.25" customHeight="1">
      <c r="A150" s="6574" t="s">
        <v>2294</v>
      </c>
      <c r="B150" s="6574" t="s">
        <v>14</v>
      </c>
      <c r="C150" s="6574" t="s">
        <v>2696</v>
      </c>
      <c r="D150" s="6574" t="s">
        <v>2697</v>
      </c>
      <c r="E150" s="6574" t="s">
        <v>2698</v>
      </c>
      <c r="F150" s="6574" t="s">
        <v>2315</v>
      </c>
      <c r="G150" s="6574" t="s">
        <v>2699</v>
      </c>
      <c r="H150" s="6574" t="s">
        <v>24</v>
      </c>
      <c r="I150" s="6574" t="s">
        <v>885</v>
      </c>
    </row>
    <row r="151" spans="1:9" ht="11.25" customHeight="1">
      <c r="A151" s="6574" t="s">
        <v>2294</v>
      </c>
      <c r="B151" s="6574" t="s">
        <v>14</v>
      </c>
      <c r="C151" s="6574" t="s">
        <v>2450</v>
      </c>
      <c r="D151" s="6574" t="s">
        <v>2451</v>
      </c>
      <c r="E151" s="6574" t="s">
        <v>2452</v>
      </c>
      <c r="F151" s="6574" t="s">
        <v>2315</v>
      </c>
      <c r="G151" s="6574" t="s">
        <v>24</v>
      </c>
      <c r="H151" s="6574" t="s">
        <v>24</v>
      </c>
      <c r="I151" s="6574" t="s">
        <v>885</v>
      </c>
    </row>
    <row r="152" spans="1:9" ht="11.25" customHeight="1">
      <c r="A152" s="6574" t="s">
        <v>2294</v>
      </c>
      <c r="B152" s="6574" t="s">
        <v>14</v>
      </c>
      <c r="C152" s="6574" t="s">
        <v>2700</v>
      </c>
      <c r="D152" s="6574" t="s">
        <v>2701</v>
      </c>
      <c r="E152" s="6574" t="s">
        <v>2702</v>
      </c>
      <c r="F152" s="6574" t="s">
        <v>2315</v>
      </c>
      <c r="G152" s="6574" t="s">
        <v>24</v>
      </c>
      <c r="H152" s="6574" t="s">
        <v>24</v>
      </c>
      <c r="I152" s="6574" t="s">
        <v>885</v>
      </c>
    </row>
    <row r="153" spans="1:9" ht="11.25" customHeight="1">
      <c r="A153" s="6574" t="s">
        <v>2294</v>
      </c>
      <c r="B153" s="6574" t="s">
        <v>14</v>
      </c>
      <c r="C153" s="6574" t="s">
        <v>2459</v>
      </c>
      <c r="D153" s="6574" t="s">
        <v>2460</v>
      </c>
      <c r="E153" s="6574" t="s">
        <v>2461</v>
      </c>
      <c r="F153" s="6574" t="s">
        <v>2462</v>
      </c>
      <c r="G153" s="6574" t="s">
        <v>24</v>
      </c>
      <c r="H153" s="6574" t="s">
        <v>24</v>
      </c>
      <c r="I153" s="6574" t="s">
        <v>885</v>
      </c>
    </row>
    <row r="154" spans="1:9" ht="11.25" customHeight="1">
      <c r="A154" s="6574" t="s">
        <v>2294</v>
      </c>
      <c r="B154" s="6574" t="s">
        <v>14</v>
      </c>
      <c r="C154" s="6574" t="s">
        <v>2703</v>
      </c>
      <c r="D154" s="6574" t="s">
        <v>2704</v>
      </c>
      <c r="E154" s="6574" t="s">
        <v>2705</v>
      </c>
      <c r="F154" s="6574" t="s">
        <v>2577</v>
      </c>
      <c r="G154" s="6574" t="s">
        <v>2706</v>
      </c>
      <c r="H154" s="6574" t="s">
        <v>24</v>
      </c>
      <c r="I154" s="6574" t="s">
        <v>885</v>
      </c>
    </row>
    <row r="155" spans="1:9" ht="11.25" customHeight="1">
      <c r="A155" s="6574" t="s">
        <v>2294</v>
      </c>
      <c r="B155" s="6574" t="s">
        <v>14</v>
      </c>
      <c r="C155" s="6574" t="s">
        <v>2463</v>
      </c>
      <c r="D155" s="6574" t="s">
        <v>2464</v>
      </c>
      <c r="E155" s="6574" t="s">
        <v>2465</v>
      </c>
      <c r="F155" s="6574" t="s">
        <v>2390</v>
      </c>
      <c r="G155" s="6574" t="s">
        <v>2466</v>
      </c>
      <c r="H155" s="6574" t="s">
        <v>24</v>
      </c>
      <c r="I155" s="6574" t="s">
        <v>885</v>
      </c>
    </row>
    <row r="156" spans="1:9" ht="11.25" customHeight="1">
      <c r="A156" s="6574" t="s">
        <v>2294</v>
      </c>
      <c r="B156" s="6574" t="s">
        <v>14</v>
      </c>
      <c r="C156" s="6574" t="s">
        <v>2707</v>
      </c>
      <c r="D156" s="6574" t="s">
        <v>2708</v>
      </c>
      <c r="E156" s="6574" t="s">
        <v>2709</v>
      </c>
      <c r="F156" s="6574" t="s">
        <v>2335</v>
      </c>
      <c r="G156" s="6574" t="s">
        <v>2710</v>
      </c>
      <c r="H156" s="6574" t="s">
        <v>24</v>
      </c>
      <c r="I156" s="6574" t="s">
        <v>885</v>
      </c>
    </row>
    <row r="157" spans="1:9" ht="11.25" customHeight="1">
      <c r="A157" s="6574" t="s">
        <v>2294</v>
      </c>
      <c r="B157" s="6574" t="s">
        <v>14</v>
      </c>
      <c r="C157" s="6574" t="s">
        <v>2711</v>
      </c>
      <c r="D157" s="6574" t="s">
        <v>2712</v>
      </c>
      <c r="E157" s="6574" t="s">
        <v>2713</v>
      </c>
      <c r="F157" s="6574" t="s">
        <v>50</v>
      </c>
      <c r="G157" s="6574" t="s">
        <v>2714</v>
      </c>
      <c r="H157" s="6574" t="s">
        <v>24</v>
      </c>
      <c r="I157" s="6574" t="s">
        <v>885</v>
      </c>
    </row>
    <row r="158" spans="1:9" ht="11.25" customHeight="1">
      <c r="A158" s="6574" t="s">
        <v>2294</v>
      </c>
      <c r="B158" s="6574" t="s">
        <v>14</v>
      </c>
      <c r="C158" s="6574" t="s">
        <v>2715</v>
      </c>
      <c r="D158" s="6574" t="s">
        <v>2716</v>
      </c>
      <c r="E158" s="6574" t="s">
        <v>2717</v>
      </c>
      <c r="F158" s="6574" t="s">
        <v>2577</v>
      </c>
      <c r="G158" s="6574" t="s">
        <v>24</v>
      </c>
      <c r="H158" s="6574" t="s">
        <v>24</v>
      </c>
      <c r="I158" s="6574" t="s">
        <v>885</v>
      </c>
    </row>
    <row r="159" spans="1:9" ht="11.25" customHeight="1">
      <c r="A159" s="6574" t="s">
        <v>2294</v>
      </c>
      <c r="B159" s="6574" t="s">
        <v>14</v>
      </c>
      <c r="C159" s="6574" t="s">
        <v>2718</v>
      </c>
      <c r="D159" s="6574" t="s">
        <v>2719</v>
      </c>
      <c r="E159" s="6574" t="s">
        <v>2720</v>
      </c>
      <c r="F159" s="6574" t="s">
        <v>2577</v>
      </c>
      <c r="G159" s="6574" t="s">
        <v>2721</v>
      </c>
      <c r="H159" s="6574" t="s">
        <v>24</v>
      </c>
      <c r="I159" s="6574" t="s">
        <v>885</v>
      </c>
    </row>
    <row r="160" spans="1:9" ht="11.25" customHeight="1">
      <c r="A160" s="6574" t="s">
        <v>2294</v>
      </c>
      <c r="B160" s="6574" t="s">
        <v>14</v>
      </c>
      <c r="C160" s="6574" t="s">
        <v>2722</v>
      </c>
      <c r="D160" s="6574" t="s">
        <v>2723</v>
      </c>
      <c r="E160" s="6574" t="s">
        <v>2724</v>
      </c>
      <c r="F160" s="6574" t="s">
        <v>2577</v>
      </c>
      <c r="G160" s="6574" t="s">
        <v>2725</v>
      </c>
      <c r="H160" s="6574" t="s">
        <v>2662</v>
      </c>
      <c r="I160" s="6574" t="s">
        <v>885</v>
      </c>
    </row>
    <row r="161" spans="1:9" ht="11.25" customHeight="1">
      <c r="A161" s="6574" t="s">
        <v>2294</v>
      </c>
      <c r="B161" s="6574" t="s">
        <v>14</v>
      </c>
      <c r="C161" s="6574" t="s">
        <v>2726</v>
      </c>
      <c r="D161" s="6574" t="s">
        <v>2727</v>
      </c>
      <c r="E161" s="6574" t="s">
        <v>2728</v>
      </c>
      <c r="F161" s="6574" t="s">
        <v>2426</v>
      </c>
      <c r="G161" s="6574" t="s">
        <v>24</v>
      </c>
      <c r="H161" s="6574" t="s">
        <v>24</v>
      </c>
      <c r="I161" s="6574" t="s">
        <v>885</v>
      </c>
    </row>
    <row r="162" spans="1:9" ht="11.25" customHeight="1">
      <c r="A162" s="6574" t="s">
        <v>2294</v>
      </c>
      <c r="B162" s="6574" t="s">
        <v>14</v>
      </c>
      <c r="C162" s="6574" t="s">
        <v>2470</v>
      </c>
      <c r="D162" s="6574" t="s">
        <v>2471</v>
      </c>
      <c r="E162" s="6574" t="s">
        <v>2472</v>
      </c>
      <c r="F162" s="6574" t="s">
        <v>2326</v>
      </c>
      <c r="G162" s="6574" t="s">
        <v>2473</v>
      </c>
      <c r="H162" s="6574" t="s">
        <v>24</v>
      </c>
      <c r="I162" s="6574" t="s">
        <v>885</v>
      </c>
    </row>
    <row r="163" spans="1:9" ht="11.25" customHeight="1">
      <c r="A163" s="6574" t="s">
        <v>2294</v>
      </c>
      <c r="B163" s="6574" t="s">
        <v>14</v>
      </c>
      <c r="C163" s="6574" t="s">
        <v>2477</v>
      </c>
      <c r="D163" s="6574" t="s">
        <v>2478</v>
      </c>
      <c r="E163" s="6574" t="s">
        <v>2479</v>
      </c>
      <c r="F163" s="6574" t="s">
        <v>2480</v>
      </c>
      <c r="G163" s="6574" t="s">
        <v>24</v>
      </c>
      <c r="H163" s="6574" t="s">
        <v>24</v>
      </c>
      <c r="I163" s="6574" t="s">
        <v>885</v>
      </c>
    </row>
    <row r="164" spans="1:9" ht="11.25" customHeight="1">
      <c r="A164" s="6574" t="s">
        <v>2294</v>
      </c>
      <c r="B164" s="6574" t="s">
        <v>14</v>
      </c>
      <c r="C164" s="6574" t="s">
        <v>2484</v>
      </c>
      <c r="D164" s="6574" t="s">
        <v>2485</v>
      </c>
      <c r="E164" s="6574" t="s">
        <v>2486</v>
      </c>
      <c r="F164" s="6574" t="s">
        <v>50</v>
      </c>
      <c r="G164" s="6574" t="s">
        <v>2487</v>
      </c>
      <c r="H164" s="6574" t="s">
        <v>24</v>
      </c>
      <c r="I164" s="6574" t="s">
        <v>885</v>
      </c>
    </row>
    <row r="165" spans="1:9" ht="11.25" customHeight="1">
      <c r="A165" s="6574" t="s">
        <v>2294</v>
      </c>
      <c r="B165" s="6574" t="s">
        <v>14</v>
      </c>
      <c r="C165" s="6574" t="s">
        <v>2488</v>
      </c>
      <c r="D165" s="6574" t="s">
        <v>2489</v>
      </c>
      <c r="E165" s="6574" t="s">
        <v>2490</v>
      </c>
      <c r="F165" s="6574" t="s">
        <v>50</v>
      </c>
      <c r="G165" s="6574" t="s">
        <v>2491</v>
      </c>
      <c r="H165" s="6574" t="s">
        <v>24</v>
      </c>
      <c r="I165" s="6574" t="s">
        <v>885</v>
      </c>
    </row>
    <row r="166" spans="1:9" ht="11.25" customHeight="1">
      <c r="A166" s="6574" t="s">
        <v>2294</v>
      </c>
      <c r="B166" s="6574" t="s">
        <v>14</v>
      </c>
      <c r="C166" s="6574" t="s">
        <v>2729</v>
      </c>
      <c r="D166" s="6574" t="s">
        <v>2730</v>
      </c>
      <c r="E166" s="6574" t="s">
        <v>2731</v>
      </c>
      <c r="F166" s="6574" t="s">
        <v>2315</v>
      </c>
      <c r="G166" s="6574" t="s">
        <v>2732</v>
      </c>
      <c r="H166" s="6574" t="s">
        <v>24</v>
      </c>
      <c r="I166" s="6574" t="s">
        <v>885</v>
      </c>
    </row>
    <row r="167" spans="1:9" ht="11.25" customHeight="1">
      <c r="A167" s="6574" t="s">
        <v>2294</v>
      </c>
      <c r="B167" s="6574" t="s">
        <v>14</v>
      </c>
      <c r="C167" s="6574" t="s">
        <v>2500</v>
      </c>
      <c r="D167" s="6574" t="s">
        <v>2501</v>
      </c>
      <c r="E167" s="6574" t="s">
        <v>2502</v>
      </c>
      <c r="F167" s="6574" t="s">
        <v>2503</v>
      </c>
      <c r="G167" s="6574" t="s">
        <v>2504</v>
      </c>
      <c r="H167" s="6574" t="s">
        <v>24</v>
      </c>
      <c r="I167" s="6574" t="s">
        <v>885</v>
      </c>
    </row>
    <row r="168" spans="1:9" ht="11.25" customHeight="1">
      <c r="A168" s="6574" t="s">
        <v>2294</v>
      </c>
      <c r="B168" s="6574" t="s">
        <v>14</v>
      </c>
      <c r="C168" s="6574" t="s">
        <v>2733</v>
      </c>
      <c r="D168" s="6574" t="s">
        <v>2734</v>
      </c>
      <c r="E168" s="6574" t="s">
        <v>2502</v>
      </c>
      <c r="F168" s="6574" t="s">
        <v>2735</v>
      </c>
      <c r="G168" s="6574" t="s">
        <v>2736</v>
      </c>
      <c r="H168" s="6574" t="s">
        <v>24</v>
      </c>
      <c r="I168" s="6574" t="s">
        <v>885</v>
      </c>
    </row>
    <row r="169" spans="1:9" ht="11.25" customHeight="1">
      <c r="A169" s="6574" t="s">
        <v>2294</v>
      </c>
      <c r="B169" s="6574" t="s">
        <v>14</v>
      </c>
      <c r="C169" s="6574" t="s">
        <v>2505</v>
      </c>
      <c r="D169" s="6574" t="s">
        <v>2506</v>
      </c>
      <c r="E169" s="6574" t="s">
        <v>2479</v>
      </c>
      <c r="F169" s="6574" t="s">
        <v>2507</v>
      </c>
      <c r="G169" s="6574" t="s">
        <v>24</v>
      </c>
      <c r="H169" s="6574" t="s">
        <v>24</v>
      </c>
      <c r="I169" s="6574" t="s">
        <v>885</v>
      </c>
    </row>
    <row r="170" spans="1:9" ht="11.25" customHeight="1">
      <c r="A170" s="6574" t="s">
        <v>2294</v>
      </c>
      <c r="B170" s="6574" t="s">
        <v>14</v>
      </c>
      <c r="C170" s="6574" t="s">
        <v>2299</v>
      </c>
      <c r="D170" s="6574" t="s">
        <v>2296</v>
      </c>
      <c r="E170" s="6574" t="s">
        <v>2297</v>
      </c>
      <c r="F170" s="6574" t="s">
        <v>2300</v>
      </c>
      <c r="G170" s="6574" t="s">
        <v>24</v>
      </c>
      <c r="H170" s="6574" t="s">
        <v>24</v>
      </c>
      <c r="I170" s="6574" t="s">
        <v>937</v>
      </c>
    </row>
    <row r="171" spans="1:9" ht="11.25" customHeight="1">
      <c r="A171" s="6574" t="s">
        <v>2294</v>
      </c>
      <c r="B171" s="6574" t="s">
        <v>14</v>
      </c>
      <c r="C171" s="6574" t="s">
        <v>2520</v>
      </c>
      <c r="D171" s="6574" t="s">
        <v>2521</v>
      </c>
      <c r="E171" s="6574" t="s">
        <v>2522</v>
      </c>
      <c r="F171" s="6574" t="s">
        <v>2515</v>
      </c>
      <c r="G171" s="6574" t="s">
        <v>2523</v>
      </c>
      <c r="H171" s="6574" t="s">
        <v>24</v>
      </c>
      <c r="I171" s="6574" t="s">
        <v>937</v>
      </c>
    </row>
    <row r="172" spans="1:9" ht="11.25" customHeight="1">
      <c r="A172" s="6574" t="s">
        <v>2294</v>
      </c>
      <c r="B172" s="6574" t="s">
        <v>14</v>
      </c>
      <c r="C172" s="6574" t="s">
        <v>2308</v>
      </c>
      <c r="D172" s="6574" t="s">
        <v>2309</v>
      </c>
      <c r="E172" s="6574" t="s">
        <v>2310</v>
      </c>
      <c r="F172" s="6574" t="s">
        <v>50</v>
      </c>
      <c r="G172" s="6574" t="s">
        <v>24</v>
      </c>
      <c r="H172" s="6574" t="s">
        <v>2311</v>
      </c>
      <c r="I172" s="6574" t="s">
        <v>937</v>
      </c>
    </row>
    <row r="173" spans="1:9" ht="11.25" customHeight="1">
      <c r="A173" s="6574" t="s">
        <v>2294</v>
      </c>
      <c r="B173" s="6574" t="s">
        <v>14</v>
      </c>
      <c r="C173" s="6574" t="s">
        <v>2316</v>
      </c>
      <c r="D173" s="6574" t="s">
        <v>2317</v>
      </c>
      <c r="E173" s="6574" t="s">
        <v>2318</v>
      </c>
      <c r="F173" s="6574" t="s">
        <v>2315</v>
      </c>
      <c r="G173" s="6574" t="s">
        <v>2319</v>
      </c>
      <c r="H173" s="6574" t="s">
        <v>2320</v>
      </c>
      <c r="I173" s="6574" t="s">
        <v>937</v>
      </c>
    </row>
    <row r="174" spans="1:9" ht="11.25" customHeight="1">
      <c r="A174" s="6574" t="s">
        <v>2294</v>
      </c>
      <c r="B174" s="6574" t="s">
        <v>14</v>
      </c>
      <c r="C174" s="6574" t="s">
        <v>24</v>
      </c>
      <c r="D174" s="6574" t="s">
        <v>2321</v>
      </c>
      <c r="E174" s="6574" t="s">
        <v>2322</v>
      </c>
      <c r="F174" s="6574" t="s">
        <v>50</v>
      </c>
      <c r="G174" s="6574" t="s">
        <v>24</v>
      </c>
      <c r="H174" s="6574" t="s">
        <v>24</v>
      </c>
      <c r="I174" s="6574" t="s">
        <v>937</v>
      </c>
    </row>
    <row r="175" spans="1:9" ht="11.25" customHeight="1">
      <c r="A175" s="6574" t="s">
        <v>2294</v>
      </c>
      <c r="B175" s="6574" t="s">
        <v>14</v>
      </c>
      <c r="C175" s="6574" t="s">
        <v>2332</v>
      </c>
      <c r="D175" s="6574" t="s">
        <v>2333</v>
      </c>
      <c r="E175" s="6574" t="s">
        <v>2334</v>
      </c>
      <c r="F175" s="6574" t="s">
        <v>2335</v>
      </c>
      <c r="G175" s="6574" t="s">
        <v>2336</v>
      </c>
      <c r="H175" s="6574" t="s">
        <v>24</v>
      </c>
      <c r="I175" s="6574" t="s">
        <v>937</v>
      </c>
    </row>
    <row r="176" spans="1:9" ht="11.25" customHeight="1">
      <c r="A176" s="6574" t="s">
        <v>2294</v>
      </c>
      <c r="B176" s="6574" t="s">
        <v>14</v>
      </c>
      <c r="C176" s="6574" t="s">
        <v>2536</v>
      </c>
      <c r="D176" s="6574" t="s">
        <v>2537</v>
      </c>
      <c r="E176" s="6574" t="s">
        <v>2538</v>
      </c>
      <c r="F176" s="6574" t="s">
        <v>2539</v>
      </c>
      <c r="G176" s="6574" t="s">
        <v>2540</v>
      </c>
      <c r="H176" s="6574" t="s">
        <v>24</v>
      </c>
      <c r="I176" s="6574" t="s">
        <v>937</v>
      </c>
    </row>
    <row r="177" spans="1:9" ht="11.25" customHeight="1">
      <c r="A177" s="6574" t="s">
        <v>2294</v>
      </c>
      <c r="B177" s="6574" t="s">
        <v>14</v>
      </c>
      <c r="C177" s="6574" t="s">
        <v>2541</v>
      </c>
      <c r="D177" s="6574" t="s">
        <v>2542</v>
      </c>
      <c r="E177" s="6574" t="s">
        <v>2543</v>
      </c>
      <c r="F177" s="6574" t="s">
        <v>2434</v>
      </c>
      <c r="G177" s="6574" t="s">
        <v>2544</v>
      </c>
      <c r="H177" s="6574" t="s">
        <v>24</v>
      </c>
      <c r="I177" s="6574" t="s">
        <v>937</v>
      </c>
    </row>
    <row r="178" spans="1:9" ht="11.25" customHeight="1">
      <c r="A178" s="6574" t="s">
        <v>2294</v>
      </c>
      <c r="B178" s="6574" t="s">
        <v>14</v>
      </c>
      <c r="C178" s="6574" t="s">
        <v>2545</v>
      </c>
      <c r="D178" s="6574" t="s">
        <v>2546</v>
      </c>
      <c r="E178" s="6574" t="s">
        <v>2547</v>
      </c>
      <c r="F178" s="6574" t="s">
        <v>2326</v>
      </c>
      <c r="G178" s="6574" t="s">
        <v>2548</v>
      </c>
      <c r="H178" s="6574" t="s">
        <v>24</v>
      </c>
      <c r="I178" s="6574" t="s">
        <v>937</v>
      </c>
    </row>
    <row r="179" spans="1:9" ht="11.25" customHeight="1">
      <c r="A179" s="6574" t="s">
        <v>2294</v>
      </c>
      <c r="B179" s="6574" t="s">
        <v>14</v>
      </c>
      <c r="C179" s="6574" t="s">
        <v>2549</v>
      </c>
      <c r="D179" s="6574" t="s">
        <v>2546</v>
      </c>
      <c r="E179" s="6574" t="s">
        <v>2550</v>
      </c>
      <c r="F179" s="6574" t="s">
        <v>2402</v>
      </c>
      <c r="G179" s="6574" t="s">
        <v>2519</v>
      </c>
      <c r="H179" s="6574" t="s">
        <v>24</v>
      </c>
      <c r="I179" s="6574" t="s">
        <v>937</v>
      </c>
    </row>
    <row r="180" spans="1:9" ht="11.25" customHeight="1">
      <c r="A180" s="6574" t="s">
        <v>2294</v>
      </c>
      <c r="B180" s="6574" t="s">
        <v>14</v>
      </c>
      <c r="C180" s="6574" t="s">
        <v>2551</v>
      </c>
      <c r="D180" s="6574" t="s">
        <v>2546</v>
      </c>
      <c r="E180" s="6574" t="s">
        <v>2552</v>
      </c>
      <c r="F180" s="6574" t="s">
        <v>50</v>
      </c>
      <c r="G180" s="6574" t="s">
        <v>2553</v>
      </c>
      <c r="H180" s="6574" t="s">
        <v>24</v>
      </c>
      <c r="I180" s="6574" t="s">
        <v>937</v>
      </c>
    </row>
    <row r="181" spans="1:9" ht="11.25" customHeight="1">
      <c r="A181" s="6574" t="s">
        <v>2294</v>
      </c>
      <c r="B181" s="6574" t="s">
        <v>14</v>
      </c>
      <c r="C181" s="6574" t="s">
        <v>2554</v>
      </c>
      <c r="D181" s="6574" t="s">
        <v>2546</v>
      </c>
      <c r="E181" s="6574" t="s">
        <v>2555</v>
      </c>
      <c r="F181" s="6574" t="s">
        <v>2344</v>
      </c>
      <c r="G181" s="6574" t="s">
        <v>24</v>
      </c>
      <c r="H181" s="6574" t="s">
        <v>24</v>
      </c>
      <c r="I181" s="6574" t="s">
        <v>937</v>
      </c>
    </row>
    <row r="182" spans="1:9" ht="11.25" customHeight="1">
      <c r="A182" s="6574" t="s">
        <v>2294</v>
      </c>
      <c r="B182" s="6574" t="s">
        <v>14</v>
      </c>
      <c r="C182" s="6574" t="s">
        <v>2556</v>
      </c>
      <c r="D182" s="6574" t="s">
        <v>2557</v>
      </c>
      <c r="E182" s="6574" t="s">
        <v>2558</v>
      </c>
      <c r="F182" s="6574" t="s">
        <v>2358</v>
      </c>
      <c r="G182" s="6574" t="s">
        <v>24</v>
      </c>
      <c r="H182" s="6574" t="s">
        <v>24</v>
      </c>
      <c r="I182" s="6574" t="s">
        <v>937</v>
      </c>
    </row>
    <row r="183" spans="1:9" ht="11.25" customHeight="1">
      <c r="A183" s="6574" t="s">
        <v>2294</v>
      </c>
      <c r="B183" s="6574" t="s">
        <v>14</v>
      </c>
      <c r="C183" s="6574" t="s">
        <v>2559</v>
      </c>
      <c r="D183" s="6574" t="s">
        <v>2560</v>
      </c>
      <c r="E183" s="6574" t="s">
        <v>2561</v>
      </c>
      <c r="F183" s="6574" t="s">
        <v>2406</v>
      </c>
      <c r="G183" s="6574" t="s">
        <v>24</v>
      </c>
      <c r="H183" s="6574" t="s">
        <v>24</v>
      </c>
      <c r="I183" s="6574" t="s">
        <v>937</v>
      </c>
    </row>
    <row r="184" spans="1:9" ht="11.25" customHeight="1">
      <c r="A184" s="6574" t="s">
        <v>2294</v>
      </c>
      <c r="B184" s="6574" t="s">
        <v>14</v>
      </c>
      <c r="C184" s="6574" t="s">
        <v>2562</v>
      </c>
      <c r="D184" s="6574" t="s">
        <v>2563</v>
      </c>
      <c r="E184" s="6574" t="s">
        <v>2564</v>
      </c>
      <c r="F184" s="6574" t="s">
        <v>2539</v>
      </c>
      <c r="G184" s="6574" t="s">
        <v>2565</v>
      </c>
      <c r="H184" s="6574" t="s">
        <v>24</v>
      </c>
      <c r="I184" s="6574" t="s">
        <v>937</v>
      </c>
    </row>
    <row r="185" spans="1:9" ht="11.25" customHeight="1">
      <c r="A185" s="6574" t="s">
        <v>2294</v>
      </c>
      <c r="B185" s="6574" t="s">
        <v>14</v>
      </c>
      <c r="C185" s="6574" t="s">
        <v>2341</v>
      </c>
      <c r="D185" s="6574" t="s">
        <v>2342</v>
      </c>
      <c r="E185" s="6574" t="s">
        <v>2343</v>
      </c>
      <c r="F185" s="6574" t="s">
        <v>2344</v>
      </c>
      <c r="G185" s="6574" t="s">
        <v>2345</v>
      </c>
      <c r="H185" s="6574" t="s">
        <v>24</v>
      </c>
      <c r="I185" s="6574" t="s">
        <v>937</v>
      </c>
    </row>
    <row r="186" spans="1:9" ht="11.25" customHeight="1">
      <c r="A186" s="6574" t="s">
        <v>2294</v>
      </c>
      <c r="B186" s="6574" t="s">
        <v>14</v>
      </c>
      <c r="C186" s="6574" t="s">
        <v>2566</v>
      </c>
      <c r="D186" s="6574" t="s">
        <v>2567</v>
      </c>
      <c r="E186" s="6574" t="s">
        <v>2568</v>
      </c>
      <c r="F186" s="6574" t="s">
        <v>2326</v>
      </c>
      <c r="G186" s="6574" t="s">
        <v>2569</v>
      </c>
      <c r="H186" s="6574" t="s">
        <v>24</v>
      </c>
      <c r="I186" s="6574" t="s">
        <v>937</v>
      </c>
    </row>
    <row r="187" spans="1:9" ht="11.25" customHeight="1">
      <c r="A187" s="6574" t="s">
        <v>2294</v>
      </c>
      <c r="B187" s="6574" t="s">
        <v>14</v>
      </c>
      <c r="C187" s="6574" t="s">
        <v>2570</v>
      </c>
      <c r="D187" s="6574" t="s">
        <v>2571</v>
      </c>
      <c r="E187" s="6574" t="s">
        <v>2572</v>
      </c>
      <c r="F187" s="6574" t="s">
        <v>2426</v>
      </c>
      <c r="G187" s="6574" t="s">
        <v>2573</v>
      </c>
      <c r="H187" s="6574" t="s">
        <v>24</v>
      </c>
      <c r="I187" s="6574" t="s">
        <v>937</v>
      </c>
    </row>
    <row r="188" spans="1:9" ht="11.25" customHeight="1">
      <c r="A188" s="6574" t="s">
        <v>2294</v>
      </c>
      <c r="B188" s="6574" t="s">
        <v>14</v>
      </c>
      <c r="C188" s="6574" t="s">
        <v>2574</v>
      </c>
      <c r="D188" s="6574" t="s">
        <v>2575</v>
      </c>
      <c r="E188" s="6574" t="s">
        <v>2576</v>
      </c>
      <c r="F188" s="6574" t="s">
        <v>2577</v>
      </c>
      <c r="G188" s="6574" t="s">
        <v>2578</v>
      </c>
      <c r="H188" s="6574" t="s">
        <v>24</v>
      </c>
      <c r="I188" s="6574" t="s">
        <v>937</v>
      </c>
    </row>
    <row r="189" spans="1:9" ht="11.25" customHeight="1">
      <c r="A189" s="6574" t="s">
        <v>2294</v>
      </c>
      <c r="B189" s="6574" t="s">
        <v>14</v>
      </c>
      <c r="C189" s="6574" t="s">
        <v>2579</v>
      </c>
      <c r="D189" s="6574" t="s">
        <v>2580</v>
      </c>
      <c r="E189" s="6574" t="s">
        <v>2581</v>
      </c>
      <c r="F189" s="6574" t="s">
        <v>2534</v>
      </c>
      <c r="G189" s="6574" t="s">
        <v>2582</v>
      </c>
      <c r="H189" s="6574" t="s">
        <v>24</v>
      </c>
      <c r="I189" s="6574" t="s">
        <v>937</v>
      </c>
    </row>
    <row r="190" spans="1:9" ht="11.25" customHeight="1">
      <c r="A190" s="6574" t="s">
        <v>2294</v>
      </c>
      <c r="B190" s="6574" t="s">
        <v>14</v>
      </c>
      <c r="C190" s="6574" t="s">
        <v>2355</v>
      </c>
      <c r="D190" s="6574" t="s">
        <v>2356</v>
      </c>
      <c r="E190" s="6574" t="s">
        <v>2357</v>
      </c>
      <c r="F190" s="6574" t="s">
        <v>2358</v>
      </c>
      <c r="G190" s="6574" t="s">
        <v>24</v>
      </c>
      <c r="H190" s="6574" t="s">
        <v>24</v>
      </c>
      <c r="I190" s="6574" t="s">
        <v>937</v>
      </c>
    </row>
    <row r="191" spans="1:9" ht="11.25" customHeight="1">
      <c r="A191" s="6574" t="s">
        <v>2294</v>
      </c>
      <c r="B191" s="6574" t="s">
        <v>14</v>
      </c>
      <c r="C191" s="6574" t="s">
        <v>2359</v>
      </c>
      <c r="D191" s="6574" t="s">
        <v>2360</v>
      </c>
      <c r="E191" s="6574" t="s">
        <v>2361</v>
      </c>
      <c r="F191" s="6574" t="s">
        <v>2362</v>
      </c>
      <c r="G191" s="6574" t="s">
        <v>2363</v>
      </c>
      <c r="H191" s="6574" t="s">
        <v>24</v>
      </c>
      <c r="I191" s="6574" t="s">
        <v>937</v>
      </c>
    </row>
    <row r="192" spans="1:9" ht="11.25" customHeight="1">
      <c r="A192" s="6574" t="s">
        <v>2294</v>
      </c>
      <c r="B192" s="6574" t="s">
        <v>14</v>
      </c>
      <c r="C192" s="6574" t="s">
        <v>2583</v>
      </c>
      <c r="D192" s="6574" t="s">
        <v>2584</v>
      </c>
      <c r="E192" s="6574" t="s">
        <v>2585</v>
      </c>
      <c r="F192" s="6574" t="s">
        <v>2378</v>
      </c>
      <c r="G192" s="6574" t="s">
        <v>2586</v>
      </c>
      <c r="H192" s="6574" t="s">
        <v>24</v>
      </c>
      <c r="I192" s="6574" t="s">
        <v>937</v>
      </c>
    </row>
    <row r="193" spans="1:9" ht="11.25" customHeight="1">
      <c r="A193" s="6574" t="s">
        <v>2294</v>
      </c>
      <c r="B193" s="6574" t="s">
        <v>14</v>
      </c>
      <c r="C193" s="6574" t="s">
        <v>2587</v>
      </c>
      <c r="D193" s="6574" t="s">
        <v>2588</v>
      </c>
      <c r="E193" s="6574" t="s">
        <v>2589</v>
      </c>
      <c r="F193" s="6574" t="s">
        <v>2315</v>
      </c>
      <c r="G193" s="6574" t="s">
        <v>2590</v>
      </c>
      <c r="H193" s="6574" t="s">
        <v>24</v>
      </c>
      <c r="I193" s="6574" t="s">
        <v>937</v>
      </c>
    </row>
    <row r="194" spans="1:9" ht="11.25" customHeight="1">
      <c r="A194" s="6574" t="s">
        <v>2294</v>
      </c>
      <c r="B194" s="6574" t="s">
        <v>14</v>
      </c>
      <c r="C194" s="6574" t="s">
        <v>2595</v>
      </c>
      <c r="D194" s="6574" t="s">
        <v>2596</v>
      </c>
      <c r="E194" s="6574" t="s">
        <v>2597</v>
      </c>
      <c r="F194" s="6574" t="s">
        <v>2515</v>
      </c>
      <c r="G194" s="6574" t="s">
        <v>24</v>
      </c>
      <c r="H194" s="6574" t="s">
        <v>24</v>
      </c>
      <c r="I194" s="6574" t="s">
        <v>937</v>
      </c>
    </row>
    <row r="195" spans="1:9" ht="11.25" customHeight="1">
      <c r="A195" s="6574" t="s">
        <v>2294</v>
      </c>
      <c r="B195" s="6574" t="s">
        <v>14</v>
      </c>
      <c r="C195" s="6574" t="s">
        <v>2598</v>
      </c>
      <c r="D195" s="6574" t="s">
        <v>2599</v>
      </c>
      <c r="E195" s="6574" t="s">
        <v>2600</v>
      </c>
      <c r="F195" s="6574" t="s">
        <v>50</v>
      </c>
      <c r="G195" s="6574" t="s">
        <v>24</v>
      </c>
      <c r="H195" s="6574" t="s">
        <v>24</v>
      </c>
      <c r="I195" s="6574" t="s">
        <v>937</v>
      </c>
    </row>
    <row r="196" spans="1:9" ht="11.25" customHeight="1">
      <c r="A196" s="6574" t="s">
        <v>2294</v>
      </c>
      <c r="B196" s="6574" t="s">
        <v>14</v>
      </c>
      <c r="C196" s="6574" t="s">
        <v>2601</v>
      </c>
      <c r="D196" s="6574" t="s">
        <v>2602</v>
      </c>
      <c r="E196" s="6574" t="s">
        <v>2603</v>
      </c>
      <c r="F196" s="6574" t="s">
        <v>2539</v>
      </c>
      <c r="G196" s="6574" t="s">
        <v>2604</v>
      </c>
      <c r="H196" s="6574" t="s">
        <v>24</v>
      </c>
      <c r="I196" s="6574" t="s">
        <v>937</v>
      </c>
    </row>
    <row r="197" spans="1:9" ht="11.25" customHeight="1">
      <c r="A197" s="6574" t="s">
        <v>2294</v>
      </c>
      <c r="B197" s="6574" t="s">
        <v>14</v>
      </c>
      <c r="C197" s="6574" t="s">
        <v>2613</v>
      </c>
      <c r="D197" s="6574" t="s">
        <v>2614</v>
      </c>
      <c r="E197" s="6574" t="s">
        <v>2615</v>
      </c>
      <c r="F197" s="6574" t="s">
        <v>2577</v>
      </c>
      <c r="G197" s="6574" t="s">
        <v>24</v>
      </c>
      <c r="H197" s="6574" t="s">
        <v>24</v>
      </c>
      <c r="I197" s="6574" t="s">
        <v>937</v>
      </c>
    </row>
    <row r="198" spans="1:9" ht="11.25" customHeight="1">
      <c r="A198" s="6574" t="s">
        <v>2294</v>
      </c>
      <c r="B198" s="6574" t="s">
        <v>14</v>
      </c>
      <c r="C198" s="6574" t="s">
        <v>2616</v>
      </c>
      <c r="D198" s="6574" t="s">
        <v>2617</v>
      </c>
      <c r="E198" s="6574" t="s">
        <v>2618</v>
      </c>
      <c r="F198" s="6574" t="s">
        <v>2390</v>
      </c>
      <c r="G198" s="6574" t="s">
        <v>2619</v>
      </c>
      <c r="H198" s="6574" t="s">
        <v>24</v>
      </c>
      <c r="I198" s="6574" t="s">
        <v>937</v>
      </c>
    </row>
    <row r="199" spans="1:9" ht="11.25" customHeight="1">
      <c r="A199" s="6574" t="s">
        <v>2294</v>
      </c>
      <c r="B199" s="6574" t="s">
        <v>14</v>
      </c>
      <c r="C199" s="6574" t="s">
        <v>2620</v>
      </c>
      <c r="D199" s="6574" t="s">
        <v>2621</v>
      </c>
      <c r="E199" s="6574" t="s">
        <v>2622</v>
      </c>
      <c r="F199" s="6574" t="s">
        <v>2358</v>
      </c>
      <c r="G199" s="6574" t="s">
        <v>24</v>
      </c>
      <c r="H199" s="6574" t="s">
        <v>24</v>
      </c>
      <c r="I199" s="6574" t="s">
        <v>937</v>
      </c>
    </row>
    <row r="200" spans="1:9" ht="11.25" customHeight="1">
      <c r="A200" s="6574" t="s">
        <v>2294</v>
      </c>
      <c r="B200" s="6574" t="s">
        <v>14</v>
      </c>
      <c r="C200" s="6574" t="s">
        <v>2623</v>
      </c>
      <c r="D200" s="6574" t="s">
        <v>2624</v>
      </c>
      <c r="E200" s="6574" t="s">
        <v>2625</v>
      </c>
      <c r="F200" s="6574" t="s">
        <v>2515</v>
      </c>
      <c r="G200" s="6574" t="s">
        <v>2626</v>
      </c>
      <c r="H200" s="6574" t="s">
        <v>2627</v>
      </c>
      <c r="I200" s="6574" t="s">
        <v>937</v>
      </c>
    </row>
    <row r="201" spans="1:9" ht="11.25" customHeight="1">
      <c r="A201" s="6574" t="s">
        <v>2294</v>
      </c>
      <c r="B201" s="6574" t="s">
        <v>14</v>
      </c>
      <c r="C201" s="6574" t="s">
        <v>2737</v>
      </c>
      <c r="D201" s="6574" t="s">
        <v>2738</v>
      </c>
      <c r="E201" s="6574" t="s">
        <v>2739</v>
      </c>
      <c r="F201" s="6574" t="s">
        <v>2331</v>
      </c>
      <c r="G201" s="6574" t="s">
        <v>2394</v>
      </c>
      <c r="H201" s="6574" t="s">
        <v>24</v>
      </c>
      <c r="I201" s="6574" t="s">
        <v>937</v>
      </c>
    </row>
    <row r="202" spans="1:9" ht="11.25" customHeight="1">
      <c r="A202" s="6574" t="s">
        <v>2294</v>
      </c>
      <c r="B202" s="6574" t="s">
        <v>14</v>
      </c>
      <c r="C202" s="6574" t="s">
        <v>2631</v>
      </c>
      <c r="D202" s="6574" t="s">
        <v>2632</v>
      </c>
      <c r="E202" s="6574" t="s">
        <v>2633</v>
      </c>
      <c r="F202" s="6574" t="s">
        <v>2315</v>
      </c>
      <c r="G202" s="6574" t="s">
        <v>2634</v>
      </c>
      <c r="H202" s="6574" t="s">
        <v>24</v>
      </c>
      <c r="I202" s="6574" t="s">
        <v>937</v>
      </c>
    </row>
    <row r="203" spans="1:9" ht="11.25" customHeight="1">
      <c r="A203" s="6574" t="s">
        <v>2294</v>
      </c>
      <c r="B203" s="6574" t="s">
        <v>14</v>
      </c>
      <c r="C203" s="6574" t="s">
        <v>2635</v>
      </c>
      <c r="D203" s="6574" t="s">
        <v>2636</v>
      </c>
      <c r="E203" s="6574" t="s">
        <v>2637</v>
      </c>
      <c r="F203" s="6574" t="s">
        <v>2539</v>
      </c>
      <c r="G203" s="6574" t="s">
        <v>2638</v>
      </c>
      <c r="H203" s="6574" t="s">
        <v>24</v>
      </c>
      <c r="I203" s="6574" t="s">
        <v>937</v>
      </c>
    </row>
    <row r="204" spans="1:9" ht="11.25" customHeight="1">
      <c r="A204" s="6574" t="s">
        <v>2294</v>
      </c>
      <c r="B204" s="6574" t="s">
        <v>14</v>
      </c>
      <c r="C204" s="6574" t="s">
        <v>2639</v>
      </c>
      <c r="D204" s="6574" t="s">
        <v>2640</v>
      </c>
      <c r="E204" s="6574" t="s">
        <v>2641</v>
      </c>
      <c r="F204" s="6574" t="s">
        <v>2539</v>
      </c>
      <c r="G204" s="6574" t="s">
        <v>2642</v>
      </c>
      <c r="H204" s="6574" t="s">
        <v>24</v>
      </c>
      <c r="I204" s="6574" t="s">
        <v>937</v>
      </c>
    </row>
    <row r="205" spans="1:9" ht="11.25" customHeight="1">
      <c r="A205" s="6574" t="s">
        <v>2294</v>
      </c>
      <c r="B205" s="6574" t="s">
        <v>14</v>
      </c>
      <c r="C205" s="6574" t="s">
        <v>2643</v>
      </c>
      <c r="D205" s="6574" t="s">
        <v>2644</v>
      </c>
      <c r="E205" s="6574" t="s">
        <v>2645</v>
      </c>
      <c r="F205" s="6574" t="s">
        <v>2577</v>
      </c>
      <c r="G205" s="6574" t="s">
        <v>24</v>
      </c>
      <c r="H205" s="6574" t="s">
        <v>24</v>
      </c>
      <c r="I205" s="6574" t="s">
        <v>937</v>
      </c>
    </row>
    <row r="206" spans="1:9" ht="11.25" customHeight="1">
      <c r="A206" s="6574" t="s">
        <v>2294</v>
      </c>
      <c r="B206" s="6574" t="s">
        <v>14</v>
      </c>
      <c r="C206" s="6574" t="s">
        <v>2654</v>
      </c>
      <c r="D206" s="6574" t="s">
        <v>2655</v>
      </c>
      <c r="E206" s="6574" t="s">
        <v>2656</v>
      </c>
      <c r="F206" s="6574" t="s">
        <v>2657</v>
      </c>
      <c r="G206" s="6574" t="s">
        <v>24</v>
      </c>
      <c r="H206" s="6574" t="s">
        <v>24</v>
      </c>
      <c r="I206" s="6574" t="s">
        <v>937</v>
      </c>
    </row>
    <row r="207" spans="1:9" ht="11.25" customHeight="1">
      <c r="A207" s="6574" t="s">
        <v>2294</v>
      </c>
      <c r="B207" s="6574" t="s">
        <v>14</v>
      </c>
      <c r="C207" s="6574" t="s">
        <v>2658</v>
      </c>
      <c r="D207" s="6574" t="s">
        <v>2659</v>
      </c>
      <c r="E207" s="6574" t="s">
        <v>2660</v>
      </c>
      <c r="F207" s="6574" t="s">
        <v>2661</v>
      </c>
      <c r="G207" s="6574" t="s">
        <v>2662</v>
      </c>
      <c r="H207" s="6574" t="s">
        <v>24</v>
      </c>
      <c r="I207" s="6574" t="s">
        <v>937</v>
      </c>
    </row>
    <row r="208" spans="1:9" ht="11.25" customHeight="1">
      <c r="A208" s="6574" t="s">
        <v>2294</v>
      </c>
      <c r="B208" s="6574" t="s">
        <v>14</v>
      </c>
      <c r="C208" s="6574" t="s">
        <v>2663</v>
      </c>
      <c r="D208" s="6574" t="s">
        <v>2664</v>
      </c>
      <c r="E208" s="6574" t="s">
        <v>2665</v>
      </c>
      <c r="F208" s="6574" t="s">
        <v>2515</v>
      </c>
      <c r="G208" s="6574" t="s">
        <v>24</v>
      </c>
      <c r="H208" s="6574" t="s">
        <v>24</v>
      </c>
      <c r="I208" s="6574" t="s">
        <v>937</v>
      </c>
    </row>
    <row r="209" spans="1:9" ht="11.25" customHeight="1">
      <c r="A209" s="6574" t="s">
        <v>2294</v>
      </c>
      <c r="B209" s="6574" t="s">
        <v>14</v>
      </c>
      <c r="C209" s="6574" t="s">
        <v>2417</v>
      </c>
      <c r="D209" s="6574" t="s">
        <v>2418</v>
      </c>
      <c r="E209" s="6574" t="s">
        <v>2419</v>
      </c>
      <c r="F209" s="6574" t="s">
        <v>2315</v>
      </c>
      <c r="G209" s="6574" t="s">
        <v>24</v>
      </c>
      <c r="H209" s="6574" t="s">
        <v>24</v>
      </c>
      <c r="I209" s="6574" t="s">
        <v>937</v>
      </c>
    </row>
    <row r="210" spans="1:9" ht="11.25" customHeight="1">
      <c r="A210" s="6574" t="s">
        <v>2294</v>
      </c>
      <c r="B210" s="6574" t="s">
        <v>14</v>
      </c>
      <c r="C210" s="6574" t="s">
        <v>2420</v>
      </c>
      <c r="D210" s="6574" t="s">
        <v>2421</v>
      </c>
      <c r="E210" s="6574" t="s">
        <v>2422</v>
      </c>
      <c r="F210" s="6574" t="s">
        <v>2315</v>
      </c>
      <c r="G210" s="6574" t="s">
        <v>24</v>
      </c>
      <c r="H210" s="6574" t="s">
        <v>24</v>
      </c>
      <c r="I210" s="6574" t="s">
        <v>937</v>
      </c>
    </row>
    <row r="211" spans="1:9" ht="11.25" customHeight="1">
      <c r="A211" s="6574" t="s">
        <v>2294</v>
      </c>
      <c r="B211" s="6574" t="s">
        <v>14</v>
      </c>
      <c r="C211" s="6574" t="s">
        <v>2740</v>
      </c>
      <c r="D211" s="6574" t="s">
        <v>2741</v>
      </c>
      <c r="E211" s="6574" t="s">
        <v>2742</v>
      </c>
      <c r="F211" s="6574" t="s">
        <v>2515</v>
      </c>
      <c r="G211" s="6574" t="s">
        <v>2743</v>
      </c>
      <c r="H211" s="6574" t="s">
        <v>24</v>
      </c>
      <c r="I211" s="6574" t="s">
        <v>937</v>
      </c>
    </row>
    <row r="212" spans="1:9" ht="11.25" customHeight="1">
      <c r="A212" s="6574" t="s">
        <v>2294</v>
      </c>
      <c r="B212" s="6574" t="s">
        <v>14</v>
      </c>
      <c r="C212" s="6574" t="s">
        <v>2744</v>
      </c>
      <c r="D212" s="6574" t="s">
        <v>2745</v>
      </c>
      <c r="E212" s="6574" t="s">
        <v>2746</v>
      </c>
      <c r="F212" s="6574" t="s">
        <v>2442</v>
      </c>
      <c r="G212" s="6574" t="s">
        <v>24</v>
      </c>
      <c r="H212" s="6574" t="s">
        <v>24</v>
      </c>
      <c r="I212" s="6574" t="s">
        <v>937</v>
      </c>
    </row>
    <row r="213" spans="1:9" ht="11.25" customHeight="1">
      <c r="A213" s="6574" t="s">
        <v>2294</v>
      </c>
      <c r="B213" s="6574" t="s">
        <v>14</v>
      </c>
      <c r="C213" s="6574" t="s">
        <v>2686</v>
      </c>
      <c r="D213" s="6574" t="s">
        <v>2687</v>
      </c>
      <c r="E213" s="6574" t="s">
        <v>2688</v>
      </c>
      <c r="F213" s="6574" t="s">
        <v>2362</v>
      </c>
      <c r="G213" s="6574" t="s">
        <v>24</v>
      </c>
      <c r="H213" s="6574" t="s">
        <v>2689</v>
      </c>
      <c r="I213" s="6574" t="s">
        <v>937</v>
      </c>
    </row>
    <row r="214" spans="1:9" ht="11.25" customHeight="1">
      <c r="A214" s="6574" t="s">
        <v>2294</v>
      </c>
      <c r="B214" s="6574" t="s">
        <v>14</v>
      </c>
      <c r="C214" s="6574" t="s">
        <v>2693</v>
      </c>
      <c r="D214" s="6574" t="s">
        <v>2694</v>
      </c>
      <c r="E214" s="6574" t="s">
        <v>2695</v>
      </c>
      <c r="F214" s="6574" t="s">
        <v>2515</v>
      </c>
      <c r="G214" s="6574" t="s">
        <v>24</v>
      </c>
      <c r="H214" s="6574" t="s">
        <v>24</v>
      </c>
      <c r="I214" s="6574" t="s">
        <v>937</v>
      </c>
    </row>
    <row r="215" spans="1:9" ht="11.25" customHeight="1">
      <c r="A215" s="6574" t="s">
        <v>2294</v>
      </c>
      <c r="B215" s="6574" t="s">
        <v>14</v>
      </c>
      <c r="C215" s="6574" t="s">
        <v>2443</v>
      </c>
      <c r="D215" s="6574" t="s">
        <v>2444</v>
      </c>
      <c r="E215" s="6574" t="s">
        <v>2445</v>
      </c>
      <c r="F215" s="6574" t="s">
        <v>2315</v>
      </c>
      <c r="G215" s="6574" t="s">
        <v>24</v>
      </c>
      <c r="H215" s="6574" t="s">
        <v>24</v>
      </c>
      <c r="I215" s="6574" t="s">
        <v>937</v>
      </c>
    </row>
    <row r="216" spans="1:9" ht="11.25" customHeight="1">
      <c r="A216" s="6574" t="s">
        <v>2294</v>
      </c>
      <c r="B216" s="6574" t="s">
        <v>14</v>
      </c>
      <c r="C216" s="6574" t="s">
        <v>2700</v>
      </c>
      <c r="D216" s="6574" t="s">
        <v>2701</v>
      </c>
      <c r="E216" s="6574" t="s">
        <v>2702</v>
      </c>
      <c r="F216" s="6574" t="s">
        <v>2315</v>
      </c>
      <c r="G216" s="6574" t="s">
        <v>24</v>
      </c>
      <c r="H216" s="6574" t="s">
        <v>24</v>
      </c>
      <c r="I216" s="6574" t="s">
        <v>937</v>
      </c>
    </row>
    <row r="217" spans="1:9" ht="11.25" customHeight="1">
      <c r="A217" s="6574" t="s">
        <v>2294</v>
      </c>
      <c r="B217" s="6574" t="s">
        <v>14</v>
      </c>
      <c r="C217" s="6574" t="s">
        <v>2459</v>
      </c>
      <c r="D217" s="6574" t="s">
        <v>2460</v>
      </c>
      <c r="E217" s="6574" t="s">
        <v>2461</v>
      </c>
      <c r="F217" s="6574" t="s">
        <v>2462</v>
      </c>
      <c r="G217" s="6574" t="s">
        <v>24</v>
      </c>
      <c r="H217" s="6574" t="s">
        <v>24</v>
      </c>
      <c r="I217" s="6574" t="s">
        <v>937</v>
      </c>
    </row>
    <row r="218" spans="1:9" ht="11.25" customHeight="1">
      <c r="A218" s="6574" t="s">
        <v>2294</v>
      </c>
      <c r="B218" s="6574" t="s">
        <v>14</v>
      </c>
      <c r="C218" s="6574" t="s">
        <v>2711</v>
      </c>
      <c r="D218" s="6574" t="s">
        <v>2712</v>
      </c>
      <c r="E218" s="6574" t="s">
        <v>2713</v>
      </c>
      <c r="F218" s="6574" t="s">
        <v>50</v>
      </c>
      <c r="G218" s="6574" t="s">
        <v>2714</v>
      </c>
      <c r="H218" s="6574" t="s">
        <v>24</v>
      </c>
      <c r="I218" s="6574" t="s">
        <v>937</v>
      </c>
    </row>
    <row r="219" spans="1:9" ht="11.25" customHeight="1">
      <c r="A219" s="6574" t="s">
        <v>2294</v>
      </c>
      <c r="B219" s="6574" t="s">
        <v>14</v>
      </c>
      <c r="C219" s="6574" t="s">
        <v>2715</v>
      </c>
      <c r="D219" s="6574" t="s">
        <v>2716</v>
      </c>
      <c r="E219" s="6574" t="s">
        <v>2717</v>
      </c>
      <c r="F219" s="6574" t="s">
        <v>2577</v>
      </c>
      <c r="G219" s="6574" t="s">
        <v>24</v>
      </c>
      <c r="H219" s="6574" t="s">
        <v>24</v>
      </c>
      <c r="I219" s="6574" t="s">
        <v>937</v>
      </c>
    </row>
    <row r="220" spans="1:9" ht="11.25" customHeight="1">
      <c r="A220" s="6574" t="s">
        <v>2294</v>
      </c>
      <c r="B220" s="6574" t="s">
        <v>14</v>
      </c>
      <c r="C220" s="6574" t="s">
        <v>2722</v>
      </c>
      <c r="D220" s="6574" t="s">
        <v>2723</v>
      </c>
      <c r="E220" s="6574" t="s">
        <v>2724</v>
      </c>
      <c r="F220" s="6574" t="s">
        <v>2577</v>
      </c>
      <c r="G220" s="6574" t="s">
        <v>2725</v>
      </c>
      <c r="H220" s="6574" t="s">
        <v>2662</v>
      </c>
      <c r="I220" s="6574" t="s">
        <v>937</v>
      </c>
    </row>
    <row r="221" spans="1:9" ht="11.25" customHeight="1">
      <c r="A221" s="6574" t="s">
        <v>2294</v>
      </c>
      <c r="B221" s="6574" t="s">
        <v>14</v>
      </c>
      <c r="C221" s="6574" t="s">
        <v>2470</v>
      </c>
      <c r="D221" s="6574" t="s">
        <v>2471</v>
      </c>
      <c r="E221" s="6574" t="s">
        <v>2472</v>
      </c>
      <c r="F221" s="6574" t="s">
        <v>2326</v>
      </c>
      <c r="G221" s="6574" t="s">
        <v>2473</v>
      </c>
      <c r="H221" s="6574" t="s">
        <v>24</v>
      </c>
      <c r="I221" s="6574" t="s">
        <v>937</v>
      </c>
    </row>
    <row r="222" spans="1:9" ht="11.25" customHeight="1">
      <c r="A222" s="6574" t="s">
        <v>2294</v>
      </c>
      <c r="B222" s="6574" t="s">
        <v>14</v>
      </c>
      <c r="C222" s="6574" t="s">
        <v>2477</v>
      </c>
      <c r="D222" s="6574" t="s">
        <v>2478</v>
      </c>
      <c r="E222" s="6574" t="s">
        <v>2479</v>
      </c>
      <c r="F222" s="6574" t="s">
        <v>2480</v>
      </c>
      <c r="G222" s="6574" t="s">
        <v>24</v>
      </c>
      <c r="H222" s="6574" t="s">
        <v>24</v>
      </c>
      <c r="I222" s="6574" t="s">
        <v>937</v>
      </c>
    </row>
    <row r="223" spans="1:9" ht="11.25" customHeight="1">
      <c r="A223" s="6574" t="s">
        <v>2294</v>
      </c>
      <c r="B223" s="6574" t="s">
        <v>14</v>
      </c>
      <c r="C223" s="6574" t="s">
        <v>2484</v>
      </c>
      <c r="D223" s="6574" t="s">
        <v>2485</v>
      </c>
      <c r="E223" s="6574" t="s">
        <v>2486</v>
      </c>
      <c r="F223" s="6574" t="s">
        <v>50</v>
      </c>
      <c r="G223" s="6574" t="s">
        <v>2487</v>
      </c>
      <c r="H223" s="6574" t="s">
        <v>24</v>
      </c>
      <c r="I223" s="6574" t="s">
        <v>937</v>
      </c>
    </row>
    <row r="224" spans="1:9" ht="11.25" customHeight="1">
      <c r="A224" s="6574" t="s">
        <v>2294</v>
      </c>
      <c r="B224" s="6574" t="s">
        <v>14</v>
      </c>
      <c r="C224" s="6574" t="s">
        <v>2488</v>
      </c>
      <c r="D224" s="6574" t="s">
        <v>2489</v>
      </c>
      <c r="E224" s="6574" t="s">
        <v>2490</v>
      </c>
      <c r="F224" s="6574" t="s">
        <v>50</v>
      </c>
      <c r="G224" s="6574" t="s">
        <v>2491</v>
      </c>
      <c r="H224" s="6574" t="s">
        <v>24</v>
      </c>
      <c r="I224" s="6574" t="s">
        <v>937</v>
      </c>
    </row>
    <row r="225" spans="1:9" ht="11.25" customHeight="1">
      <c r="A225" s="6574" t="s">
        <v>2294</v>
      </c>
      <c r="B225" s="6574" t="s">
        <v>14</v>
      </c>
      <c r="C225" s="6574" t="s">
        <v>2729</v>
      </c>
      <c r="D225" s="6574" t="s">
        <v>2730</v>
      </c>
      <c r="E225" s="6574" t="s">
        <v>2731</v>
      </c>
      <c r="F225" s="6574" t="s">
        <v>2315</v>
      </c>
      <c r="G225" s="6574" t="s">
        <v>2732</v>
      </c>
      <c r="H225" s="6574" t="s">
        <v>24</v>
      </c>
      <c r="I225" s="6574" t="s">
        <v>937</v>
      </c>
    </row>
    <row r="226" spans="1:9" ht="11.25" customHeight="1">
      <c r="A226" s="6574" t="s">
        <v>2294</v>
      </c>
      <c r="B226" s="6574" t="s">
        <v>14</v>
      </c>
      <c r="C226" s="6574" t="s">
        <v>2500</v>
      </c>
      <c r="D226" s="6574" t="s">
        <v>2501</v>
      </c>
      <c r="E226" s="6574" t="s">
        <v>2502</v>
      </c>
      <c r="F226" s="6574" t="s">
        <v>2503</v>
      </c>
      <c r="G226" s="6574" t="s">
        <v>2504</v>
      </c>
      <c r="H226" s="6574" t="s">
        <v>24</v>
      </c>
      <c r="I226" s="6574" t="s">
        <v>937</v>
      </c>
    </row>
    <row r="227" spans="1:9" ht="11.25" customHeight="1">
      <c r="A227" s="6574" t="s">
        <v>2294</v>
      </c>
      <c r="B227" s="6574" t="s">
        <v>14</v>
      </c>
      <c r="C227" s="6574" t="s">
        <v>2733</v>
      </c>
      <c r="D227" s="6574" t="s">
        <v>2734</v>
      </c>
      <c r="E227" s="6574" t="s">
        <v>2502</v>
      </c>
      <c r="F227" s="6574" t="s">
        <v>2735</v>
      </c>
      <c r="G227" s="6574" t="s">
        <v>2736</v>
      </c>
      <c r="H227" s="6574" t="s">
        <v>24</v>
      </c>
      <c r="I227" s="6574" t="s">
        <v>937</v>
      </c>
    </row>
    <row r="228" spans="1:9" ht="11.25" customHeight="1">
      <c r="A228" s="6574" t="s">
        <v>2294</v>
      </c>
      <c r="B228" s="6574" t="s">
        <v>14</v>
      </c>
      <c r="C228" s="6574" t="s">
        <v>2747</v>
      </c>
      <c r="D228" s="6574" t="s">
        <v>2748</v>
      </c>
      <c r="E228" s="6574" t="s">
        <v>2749</v>
      </c>
      <c r="F228" s="6574" t="s">
        <v>692</v>
      </c>
      <c r="G228" s="6574" t="s">
        <v>24</v>
      </c>
      <c r="H228" s="6574" t="s">
        <v>24</v>
      </c>
      <c r="I228" s="6574" t="s">
        <v>1738</v>
      </c>
    </row>
    <row r="229" spans="1:9" ht="11.25" customHeight="1">
      <c r="A229" s="6574" t="s">
        <v>2294</v>
      </c>
      <c r="B229" s="6574" t="s">
        <v>14</v>
      </c>
      <c r="C229" s="6574" t="s">
        <v>2750</v>
      </c>
      <c r="D229" s="6574" t="s">
        <v>2751</v>
      </c>
      <c r="E229" s="6574" t="s">
        <v>2752</v>
      </c>
      <c r="F229" s="6574" t="s">
        <v>692</v>
      </c>
      <c r="G229" s="6574" t="s">
        <v>24</v>
      </c>
      <c r="H229" s="6574" t="s">
        <v>24</v>
      </c>
      <c r="I229" s="6574" t="s">
        <v>1738</v>
      </c>
    </row>
    <row r="230" spans="1:9" ht="11.25" customHeight="1">
      <c r="A230" s="6574" t="s">
        <v>2294</v>
      </c>
      <c r="B230" s="6574" t="s">
        <v>14</v>
      </c>
      <c r="C230" s="6574" t="s">
        <v>2753</v>
      </c>
      <c r="D230" s="6574" t="s">
        <v>2754</v>
      </c>
      <c r="E230" s="6574" t="s">
        <v>2755</v>
      </c>
      <c r="F230" s="6574" t="s">
        <v>692</v>
      </c>
      <c r="G230" s="6574" t="s">
        <v>2756</v>
      </c>
      <c r="H230" s="6574" t="s">
        <v>24</v>
      </c>
      <c r="I230" s="6574" t="s">
        <v>1738</v>
      </c>
    </row>
    <row r="231" spans="1:9" ht="11.25" customHeight="1">
      <c r="A231" s="6574" t="s">
        <v>2294</v>
      </c>
      <c r="B231" s="6574" t="s">
        <v>14</v>
      </c>
      <c r="C231" s="6574" t="s">
        <v>24</v>
      </c>
      <c r="D231" s="6574" t="s">
        <v>2321</v>
      </c>
      <c r="E231" s="6574" t="s">
        <v>2322</v>
      </c>
      <c r="F231" s="6574" t="s">
        <v>50</v>
      </c>
      <c r="G231" s="6574" t="s">
        <v>24</v>
      </c>
      <c r="H231" s="6574" t="s">
        <v>24</v>
      </c>
      <c r="I231" s="6574" t="s">
        <v>1738</v>
      </c>
    </row>
    <row r="232" spans="1:9" ht="11.25" customHeight="1">
      <c r="A232" s="6574" t="s">
        <v>2294</v>
      </c>
      <c r="B232" s="6574" t="s">
        <v>14</v>
      </c>
      <c r="C232" s="6574" t="s">
        <v>2323</v>
      </c>
      <c r="D232" s="6574" t="s">
        <v>2324</v>
      </c>
      <c r="E232" s="6574" t="s">
        <v>2325</v>
      </c>
      <c r="F232" s="6574" t="s">
        <v>2326</v>
      </c>
      <c r="G232" s="6574" t="s">
        <v>2327</v>
      </c>
      <c r="H232" s="6574" t="s">
        <v>24</v>
      </c>
      <c r="I232" s="6574" t="s">
        <v>1738</v>
      </c>
    </row>
    <row r="233" spans="1:9" ht="11.25" customHeight="1">
      <c r="A233" s="6574" t="s">
        <v>2294</v>
      </c>
      <c r="B233" s="6574" t="s">
        <v>14</v>
      </c>
      <c r="C233" s="6574" t="s">
        <v>2757</v>
      </c>
      <c r="D233" s="6574" t="s">
        <v>2758</v>
      </c>
      <c r="E233" s="6574" t="s">
        <v>2759</v>
      </c>
      <c r="F233" s="6574" t="s">
        <v>2426</v>
      </c>
      <c r="G233" s="6574" t="s">
        <v>2573</v>
      </c>
      <c r="H233" s="6574" t="s">
        <v>24</v>
      </c>
      <c r="I233" s="6574" t="s">
        <v>1738</v>
      </c>
    </row>
    <row r="234" spans="1:9" ht="11.25" customHeight="1">
      <c r="A234" s="6574" t="s">
        <v>2294</v>
      </c>
      <c r="B234" s="6574" t="s">
        <v>14</v>
      </c>
      <c r="C234" s="6574" t="s">
        <v>2350</v>
      </c>
      <c r="D234" s="6574" t="s">
        <v>2351</v>
      </c>
      <c r="E234" s="6574" t="s">
        <v>2352</v>
      </c>
      <c r="F234" s="6574" t="s">
        <v>2353</v>
      </c>
      <c r="G234" s="6574" t="s">
        <v>2354</v>
      </c>
      <c r="H234" s="6574" t="s">
        <v>24</v>
      </c>
      <c r="I234" s="6574" t="s">
        <v>1738</v>
      </c>
    </row>
    <row r="235" spans="1:9" ht="11.25" customHeight="1">
      <c r="A235" s="6574" t="s">
        <v>2294</v>
      </c>
      <c r="B235" s="6574" t="s">
        <v>14</v>
      </c>
      <c r="C235" s="6574" t="s">
        <v>2355</v>
      </c>
      <c r="D235" s="6574" t="s">
        <v>2356</v>
      </c>
      <c r="E235" s="6574" t="s">
        <v>2357</v>
      </c>
      <c r="F235" s="6574" t="s">
        <v>2358</v>
      </c>
      <c r="G235" s="6574" t="s">
        <v>24</v>
      </c>
      <c r="H235" s="6574" t="s">
        <v>24</v>
      </c>
      <c r="I235" s="6574" t="s">
        <v>1738</v>
      </c>
    </row>
    <row r="236" spans="1:9" ht="11.25" customHeight="1">
      <c r="A236" s="6574" t="s">
        <v>2294</v>
      </c>
      <c r="B236" s="6574" t="s">
        <v>14</v>
      </c>
      <c r="C236" s="6574" t="s">
        <v>2359</v>
      </c>
      <c r="D236" s="6574" t="s">
        <v>2360</v>
      </c>
      <c r="E236" s="6574" t="s">
        <v>2361</v>
      </c>
      <c r="F236" s="6574" t="s">
        <v>2362</v>
      </c>
      <c r="G236" s="6574" t="s">
        <v>2363</v>
      </c>
      <c r="H236" s="6574" t="s">
        <v>24</v>
      </c>
      <c r="I236" s="6574" t="s">
        <v>1738</v>
      </c>
    </row>
    <row r="237" spans="1:9" ht="11.25" customHeight="1">
      <c r="A237" s="6574" t="s">
        <v>2294</v>
      </c>
      <c r="B237" s="6574" t="s">
        <v>14</v>
      </c>
      <c r="C237" s="6574" t="s">
        <v>2760</v>
      </c>
      <c r="D237" s="6574" t="s">
        <v>2761</v>
      </c>
      <c r="E237" s="6574" t="s">
        <v>2762</v>
      </c>
      <c r="F237" s="6574" t="s">
        <v>2378</v>
      </c>
      <c r="G237" s="6574" t="s">
        <v>24</v>
      </c>
      <c r="H237" s="6574" t="s">
        <v>24</v>
      </c>
      <c r="I237" s="6574" t="s">
        <v>1738</v>
      </c>
    </row>
    <row r="238" spans="1:9" ht="11.25" customHeight="1">
      <c r="A238" s="6574" t="s">
        <v>2294</v>
      </c>
      <c r="B238" s="6574" t="s">
        <v>14</v>
      </c>
      <c r="C238" s="6574" t="s">
        <v>2763</v>
      </c>
      <c r="D238" s="6574" t="s">
        <v>2764</v>
      </c>
      <c r="E238" s="6574" t="s">
        <v>2765</v>
      </c>
      <c r="F238" s="6574" t="s">
        <v>50</v>
      </c>
      <c r="G238" s="6574" t="s">
        <v>2766</v>
      </c>
      <c r="H238" s="6574" t="s">
        <v>24</v>
      </c>
      <c r="I238" s="6574" t="s">
        <v>1738</v>
      </c>
    </row>
    <row r="239" spans="1:9" ht="11.25" customHeight="1">
      <c r="A239" s="6574" t="s">
        <v>2294</v>
      </c>
      <c r="B239" s="6574" t="s">
        <v>14</v>
      </c>
      <c r="C239" s="6574" t="s">
        <v>2399</v>
      </c>
      <c r="D239" s="6574" t="s">
        <v>2400</v>
      </c>
      <c r="E239" s="6574" t="s">
        <v>2401</v>
      </c>
      <c r="F239" s="6574" t="s">
        <v>2402</v>
      </c>
      <c r="G239" s="6574" t="s">
        <v>24</v>
      </c>
      <c r="H239" s="6574" t="s">
        <v>24</v>
      </c>
      <c r="I239" s="6574" t="s">
        <v>1738</v>
      </c>
    </row>
    <row r="240" spans="1:9" ht="11.25" customHeight="1">
      <c r="A240" s="6574" t="s">
        <v>2294</v>
      </c>
      <c r="B240" s="6574" t="s">
        <v>14</v>
      </c>
      <c r="C240" s="6574" t="s">
        <v>2403</v>
      </c>
      <c r="D240" s="6574" t="s">
        <v>2404</v>
      </c>
      <c r="E240" s="6574" t="s">
        <v>2405</v>
      </c>
      <c r="F240" s="6574" t="s">
        <v>2406</v>
      </c>
      <c r="G240" s="6574" t="s">
        <v>2407</v>
      </c>
      <c r="H240" s="6574" t="s">
        <v>24</v>
      </c>
      <c r="I240" s="6574" t="s">
        <v>1738</v>
      </c>
    </row>
    <row r="241" spans="1:9" ht="11.25" customHeight="1">
      <c r="A241" s="6574" t="s">
        <v>2294</v>
      </c>
      <c r="B241" s="6574" t="s">
        <v>14</v>
      </c>
      <c r="C241" s="6574" t="s">
        <v>2767</v>
      </c>
      <c r="D241" s="6574" t="s">
        <v>2768</v>
      </c>
      <c r="E241" s="6574" t="s">
        <v>2769</v>
      </c>
      <c r="F241" s="6574" t="s">
        <v>2335</v>
      </c>
      <c r="G241" s="6574" t="s">
        <v>24</v>
      </c>
      <c r="H241" s="6574" t="s">
        <v>24</v>
      </c>
      <c r="I241" s="6574" t="s">
        <v>1738</v>
      </c>
    </row>
    <row r="242" spans="1:9" ht="11.25" customHeight="1">
      <c r="A242" s="6574" t="s">
        <v>2294</v>
      </c>
      <c r="B242" s="6574" t="s">
        <v>14</v>
      </c>
      <c r="C242" s="6574" t="s">
        <v>2770</v>
      </c>
      <c r="D242" s="6574" t="s">
        <v>2771</v>
      </c>
      <c r="E242" s="6574" t="s">
        <v>2772</v>
      </c>
      <c r="F242" s="6574" t="s">
        <v>2661</v>
      </c>
      <c r="G242" s="6574" t="s">
        <v>2773</v>
      </c>
      <c r="H242" s="6574" t="s">
        <v>24</v>
      </c>
      <c r="I242" s="6574" t="s">
        <v>1738</v>
      </c>
    </row>
    <row r="243" spans="1:9" ht="11.25" customHeight="1">
      <c r="A243" s="6574" t="s">
        <v>2294</v>
      </c>
      <c r="B243" s="6574" t="s">
        <v>14</v>
      </c>
      <c r="C243" s="6574" t="s">
        <v>2774</v>
      </c>
      <c r="D243" s="6574" t="s">
        <v>2775</v>
      </c>
      <c r="E243" s="6574" t="s">
        <v>2776</v>
      </c>
      <c r="F243" s="6574" t="s">
        <v>2331</v>
      </c>
      <c r="G243" s="6574" t="s">
        <v>2394</v>
      </c>
      <c r="H243" s="6574" t="s">
        <v>24</v>
      </c>
      <c r="I243" s="6574" t="s">
        <v>1738</v>
      </c>
    </row>
    <row r="244" spans="1:9" ht="11.25" customHeight="1">
      <c r="A244" s="6574" t="s">
        <v>2294</v>
      </c>
      <c r="B244" s="6574" t="s">
        <v>14</v>
      </c>
      <c r="C244" s="6574" t="s">
        <v>2675</v>
      </c>
      <c r="D244" s="6574" t="s">
        <v>2676</v>
      </c>
      <c r="E244" s="6574" t="s">
        <v>2677</v>
      </c>
      <c r="F244" s="6574" t="s">
        <v>2390</v>
      </c>
      <c r="G244" s="6574" t="s">
        <v>2678</v>
      </c>
      <c r="H244" s="6574" t="s">
        <v>24</v>
      </c>
      <c r="I244" s="6574" t="s">
        <v>1738</v>
      </c>
    </row>
    <row r="245" spans="1:9" ht="11.25" customHeight="1">
      <c r="A245" s="6574" t="s">
        <v>2294</v>
      </c>
      <c r="B245" s="6574" t="s">
        <v>14</v>
      </c>
      <c r="C245" s="6574" t="s">
        <v>2777</v>
      </c>
      <c r="D245" s="6574" t="s">
        <v>2778</v>
      </c>
      <c r="E245" s="6574" t="s">
        <v>2779</v>
      </c>
      <c r="F245" s="6574" t="s">
        <v>50</v>
      </c>
      <c r="G245" s="6574" t="s">
        <v>24</v>
      </c>
      <c r="H245" s="6574" t="s">
        <v>24</v>
      </c>
      <c r="I245" s="6574" t="s">
        <v>1738</v>
      </c>
    </row>
    <row r="246" spans="1:9" ht="11.25" customHeight="1">
      <c r="A246" s="6574" t="s">
        <v>2294</v>
      </c>
      <c r="B246" s="6574" t="s">
        <v>14</v>
      </c>
      <c r="C246" s="6574" t="s">
        <v>2780</v>
      </c>
      <c r="D246" s="6574" t="s">
        <v>2778</v>
      </c>
      <c r="E246" s="6574" t="s">
        <v>2781</v>
      </c>
      <c r="F246" s="6574" t="s">
        <v>2442</v>
      </c>
      <c r="G246" s="6574" t="s">
        <v>24</v>
      </c>
      <c r="H246" s="6574" t="s">
        <v>24</v>
      </c>
      <c r="I246" s="6574" t="s">
        <v>1738</v>
      </c>
    </row>
    <row r="247" spans="1:9" ht="11.25" customHeight="1">
      <c r="A247" s="6574" t="s">
        <v>2294</v>
      </c>
      <c r="B247" s="6574" t="s">
        <v>14</v>
      </c>
      <c r="C247" s="6574" t="s">
        <v>2782</v>
      </c>
      <c r="D247" s="6574" t="s">
        <v>2783</v>
      </c>
      <c r="E247" s="6574" t="s">
        <v>2784</v>
      </c>
      <c r="F247" s="6574" t="s">
        <v>2661</v>
      </c>
      <c r="G247" s="6574" t="s">
        <v>2785</v>
      </c>
      <c r="H247" s="6574" t="s">
        <v>24</v>
      </c>
      <c r="I247" s="6574" t="s">
        <v>1738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50"/>
  <sheetViews>
    <sheetView showGridLines="0" workbookViewId="0"/>
  </sheetViews>
  <sheetFormatPr defaultRowHeight="11.25" customHeight="1"/>
  <cols>
    <col min="1" max="1" width="9.140625" style="6550"/>
  </cols>
  <sheetData>
    <row r="1" spans="1:7" ht="11.25" customHeight="1">
      <c r="A1" s="301" t="s">
        <v>2786</v>
      </c>
      <c r="B1" s="1" t="s">
        <v>2787</v>
      </c>
      <c r="C1" s="1" t="s">
        <v>2788</v>
      </c>
      <c r="D1" s="1" t="s">
        <v>2789</v>
      </c>
      <c r="E1" t="s">
        <v>2790</v>
      </c>
      <c r="F1" t="s">
        <v>2791</v>
      </c>
      <c r="G1" t="s">
        <v>2792</v>
      </c>
    </row>
    <row r="2" spans="1:7" ht="11.25" customHeight="1">
      <c r="A2" s="301" t="s">
        <v>14</v>
      </c>
      <c r="B2" t="s">
        <v>99</v>
      </c>
      <c r="C2" t="s">
        <v>100</v>
      </c>
      <c r="D2" t="s">
        <v>2793</v>
      </c>
      <c r="E2" t="s">
        <v>2794</v>
      </c>
      <c r="F2" t="s">
        <v>2795</v>
      </c>
      <c r="G2" t="s">
        <v>178</v>
      </c>
    </row>
    <row r="3" spans="1:7" ht="11.25" customHeight="1">
      <c r="A3" s="301" t="s">
        <v>14</v>
      </c>
      <c r="B3" t="s">
        <v>99</v>
      </c>
      <c r="C3" t="s">
        <v>100</v>
      </c>
      <c r="D3" t="s">
        <v>99</v>
      </c>
      <c r="E3" t="s">
        <v>100</v>
      </c>
      <c r="F3" t="s">
        <v>2796</v>
      </c>
      <c r="G3" t="s">
        <v>98</v>
      </c>
    </row>
    <row r="4" spans="1:7" ht="11.25" customHeight="1">
      <c r="A4" s="301" t="s">
        <v>14</v>
      </c>
      <c r="B4" t="s">
        <v>99</v>
      </c>
      <c r="C4" t="s">
        <v>100</v>
      </c>
      <c r="D4" t="s">
        <v>2797</v>
      </c>
      <c r="E4" t="s">
        <v>2798</v>
      </c>
      <c r="F4" t="s">
        <v>2795</v>
      </c>
      <c r="G4" t="s">
        <v>89</v>
      </c>
    </row>
    <row r="5" spans="1:7" ht="11.25" customHeight="1">
      <c r="A5" s="301" t="s">
        <v>14</v>
      </c>
      <c r="B5" t="s">
        <v>99</v>
      </c>
      <c r="C5" t="s">
        <v>100</v>
      </c>
      <c r="D5" t="s">
        <v>2799</v>
      </c>
      <c r="E5" t="s">
        <v>2800</v>
      </c>
      <c r="F5" t="s">
        <v>2795</v>
      </c>
      <c r="G5" t="s">
        <v>90</v>
      </c>
    </row>
    <row r="6" spans="1:7" ht="11.25" customHeight="1">
      <c r="A6" s="301" t="s">
        <v>14</v>
      </c>
      <c r="B6" t="s">
        <v>99</v>
      </c>
      <c r="C6" t="s">
        <v>100</v>
      </c>
      <c r="D6" t="s">
        <v>2801</v>
      </c>
      <c r="E6" t="s">
        <v>2802</v>
      </c>
      <c r="F6" t="s">
        <v>2795</v>
      </c>
      <c r="G6" t="s">
        <v>115</v>
      </c>
    </row>
    <row r="7" spans="1:7" ht="11.25" customHeight="1">
      <c r="A7" s="301" t="s">
        <v>14</v>
      </c>
      <c r="B7" t="s">
        <v>99</v>
      </c>
      <c r="C7" t="s">
        <v>100</v>
      </c>
      <c r="D7" t="s">
        <v>2803</v>
      </c>
      <c r="E7" t="s">
        <v>2804</v>
      </c>
      <c r="F7" t="s">
        <v>2795</v>
      </c>
      <c r="G7" t="s">
        <v>91</v>
      </c>
    </row>
    <row r="8" spans="1:7" ht="11.25" customHeight="1">
      <c r="A8" s="301" t="s">
        <v>14</v>
      </c>
      <c r="B8" t="s">
        <v>99</v>
      </c>
      <c r="C8" t="s">
        <v>100</v>
      </c>
      <c r="D8" t="s">
        <v>2805</v>
      </c>
      <c r="E8" t="s">
        <v>2806</v>
      </c>
      <c r="F8" t="s">
        <v>2795</v>
      </c>
      <c r="G8" t="s">
        <v>92</v>
      </c>
    </row>
    <row r="9" spans="1:7" ht="11.25" customHeight="1">
      <c r="A9" s="301" t="s">
        <v>14</v>
      </c>
      <c r="B9" t="s">
        <v>99</v>
      </c>
      <c r="C9" t="s">
        <v>100</v>
      </c>
      <c r="D9" t="s">
        <v>2807</v>
      </c>
      <c r="E9" t="s">
        <v>2808</v>
      </c>
      <c r="F9" t="s">
        <v>2795</v>
      </c>
      <c r="G9" t="s">
        <v>128</v>
      </c>
    </row>
    <row r="10" spans="1:7" ht="11.25" customHeight="1">
      <c r="A10" s="301" t="s">
        <v>14</v>
      </c>
      <c r="B10" t="s">
        <v>99</v>
      </c>
      <c r="C10" t="s">
        <v>100</v>
      </c>
      <c r="D10" t="s">
        <v>2809</v>
      </c>
      <c r="E10" t="s">
        <v>2810</v>
      </c>
      <c r="F10" t="s">
        <v>2811</v>
      </c>
      <c r="G10" t="s">
        <v>133</v>
      </c>
    </row>
    <row r="11" spans="1:7" ht="11.25" customHeight="1">
      <c r="A11" s="301" t="s">
        <v>14</v>
      </c>
      <c r="B11" t="s">
        <v>105</v>
      </c>
      <c r="C11" t="s">
        <v>106</v>
      </c>
      <c r="D11" t="s">
        <v>2812</v>
      </c>
      <c r="E11" t="s">
        <v>2813</v>
      </c>
      <c r="F11" t="s">
        <v>2795</v>
      </c>
      <c r="G11" t="s">
        <v>138</v>
      </c>
    </row>
    <row r="12" spans="1:7" ht="11.25" customHeight="1">
      <c r="A12" s="301" t="s">
        <v>14</v>
      </c>
      <c r="B12" t="s">
        <v>105</v>
      </c>
      <c r="C12" t="s">
        <v>106</v>
      </c>
      <c r="D12" t="s">
        <v>105</v>
      </c>
      <c r="E12" t="s">
        <v>106</v>
      </c>
      <c r="F12" t="s">
        <v>2796</v>
      </c>
      <c r="G12" t="s">
        <v>104</v>
      </c>
    </row>
    <row r="13" spans="1:7" ht="11.25" customHeight="1">
      <c r="A13" s="301" t="s">
        <v>14</v>
      </c>
      <c r="B13" t="s">
        <v>105</v>
      </c>
      <c r="C13" t="s">
        <v>106</v>
      </c>
      <c r="D13" t="s">
        <v>2814</v>
      </c>
      <c r="E13" t="s">
        <v>2815</v>
      </c>
      <c r="F13" t="s">
        <v>2795</v>
      </c>
      <c r="G13" t="s">
        <v>147</v>
      </c>
    </row>
    <row r="14" spans="1:7" ht="11.25" customHeight="1">
      <c r="A14" s="301" t="s">
        <v>14</v>
      </c>
      <c r="B14" t="s">
        <v>105</v>
      </c>
      <c r="C14" t="s">
        <v>106</v>
      </c>
      <c r="D14" t="s">
        <v>2816</v>
      </c>
      <c r="E14" t="s">
        <v>2817</v>
      </c>
      <c r="F14" t="s">
        <v>2795</v>
      </c>
      <c r="G14" t="s">
        <v>152</v>
      </c>
    </row>
    <row r="15" spans="1:7" ht="11.25" customHeight="1">
      <c r="A15" s="301" t="s">
        <v>14</v>
      </c>
      <c r="B15" t="s">
        <v>105</v>
      </c>
      <c r="C15" t="s">
        <v>106</v>
      </c>
      <c r="D15" t="s">
        <v>2818</v>
      </c>
      <c r="E15" t="s">
        <v>2819</v>
      </c>
      <c r="F15" t="s">
        <v>2795</v>
      </c>
      <c r="G15" t="s">
        <v>157</v>
      </c>
    </row>
    <row r="16" spans="1:7" ht="11.25" customHeight="1">
      <c r="A16" s="301" t="s">
        <v>14</v>
      </c>
      <c r="B16" t="s">
        <v>105</v>
      </c>
      <c r="C16" t="s">
        <v>106</v>
      </c>
      <c r="D16" t="s">
        <v>2820</v>
      </c>
      <c r="E16" t="s">
        <v>2821</v>
      </c>
      <c r="F16" t="s">
        <v>2795</v>
      </c>
      <c r="G16" t="s">
        <v>162</v>
      </c>
    </row>
    <row r="17" spans="1:7" ht="11.25" customHeight="1">
      <c r="A17" s="301" t="s">
        <v>14</v>
      </c>
      <c r="B17" t="s">
        <v>105</v>
      </c>
      <c r="C17" t="s">
        <v>106</v>
      </c>
      <c r="D17" t="s">
        <v>2822</v>
      </c>
      <c r="E17" t="s">
        <v>2823</v>
      </c>
      <c r="F17" t="s">
        <v>2795</v>
      </c>
      <c r="G17" t="s">
        <v>167</v>
      </c>
    </row>
    <row r="18" spans="1:7" ht="11.25" customHeight="1">
      <c r="A18" s="301" t="s">
        <v>14</v>
      </c>
      <c r="B18" t="s">
        <v>105</v>
      </c>
      <c r="C18" t="s">
        <v>106</v>
      </c>
      <c r="D18" t="s">
        <v>2824</v>
      </c>
      <c r="E18" t="s">
        <v>2825</v>
      </c>
      <c r="F18" t="s">
        <v>2795</v>
      </c>
      <c r="G18" t="s">
        <v>1601</v>
      </c>
    </row>
    <row r="19" spans="1:7" ht="11.25" customHeight="1">
      <c r="A19" s="301" t="s">
        <v>14</v>
      </c>
      <c r="B19" t="s">
        <v>105</v>
      </c>
      <c r="C19" t="s">
        <v>106</v>
      </c>
      <c r="D19" t="s">
        <v>2826</v>
      </c>
      <c r="E19" t="s">
        <v>2827</v>
      </c>
      <c r="F19" t="s">
        <v>2795</v>
      </c>
      <c r="G19" t="s">
        <v>1615</v>
      </c>
    </row>
    <row r="20" spans="1:7" ht="11.25" customHeight="1">
      <c r="A20" s="301" t="s">
        <v>14</v>
      </c>
      <c r="B20" t="s">
        <v>105</v>
      </c>
      <c r="C20" t="s">
        <v>106</v>
      </c>
      <c r="D20" t="s">
        <v>2828</v>
      </c>
      <c r="E20" t="s">
        <v>2829</v>
      </c>
      <c r="F20" t="s">
        <v>2795</v>
      </c>
      <c r="G20" t="s">
        <v>1627</v>
      </c>
    </row>
    <row r="21" spans="1:7" ht="11.25" customHeight="1">
      <c r="A21" s="301" t="s">
        <v>14</v>
      </c>
      <c r="B21" t="s">
        <v>105</v>
      </c>
      <c r="C21" t="s">
        <v>106</v>
      </c>
      <c r="D21" t="s">
        <v>2830</v>
      </c>
      <c r="E21" t="s">
        <v>2831</v>
      </c>
      <c r="F21" t="s">
        <v>2795</v>
      </c>
      <c r="G21" t="s">
        <v>1636</v>
      </c>
    </row>
    <row r="22" spans="1:7" ht="11.25" customHeight="1">
      <c r="A22" s="301" t="s">
        <v>14</v>
      </c>
      <c r="B22" t="s">
        <v>109</v>
      </c>
      <c r="C22" t="s">
        <v>110</v>
      </c>
      <c r="D22" t="s">
        <v>109</v>
      </c>
      <c r="E22" t="s">
        <v>110</v>
      </c>
      <c r="F22" t="s">
        <v>2796</v>
      </c>
      <c r="G22" t="s">
        <v>108</v>
      </c>
    </row>
    <row r="23" spans="1:7" ht="11.25" customHeight="1">
      <c r="A23" s="301" t="s">
        <v>14</v>
      </c>
      <c r="B23" t="s">
        <v>109</v>
      </c>
      <c r="C23" t="s">
        <v>110</v>
      </c>
      <c r="D23" t="s">
        <v>2832</v>
      </c>
      <c r="E23" t="s">
        <v>2833</v>
      </c>
      <c r="F23" t="s">
        <v>2795</v>
      </c>
      <c r="G23" t="s">
        <v>1658</v>
      </c>
    </row>
    <row r="24" spans="1:7" ht="11.25" customHeight="1">
      <c r="A24" s="301" t="s">
        <v>14</v>
      </c>
      <c r="B24" t="s">
        <v>109</v>
      </c>
      <c r="C24" t="s">
        <v>110</v>
      </c>
      <c r="D24" t="s">
        <v>2834</v>
      </c>
      <c r="E24" t="s">
        <v>2835</v>
      </c>
      <c r="F24" t="s">
        <v>2795</v>
      </c>
      <c r="G24" t="s">
        <v>1666</v>
      </c>
    </row>
    <row r="25" spans="1:7" ht="11.25" customHeight="1">
      <c r="A25" s="301" t="s">
        <v>14</v>
      </c>
      <c r="B25" t="s">
        <v>109</v>
      </c>
      <c r="C25" t="s">
        <v>110</v>
      </c>
      <c r="D25" t="s">
        <v>2836</v>
      </c>
      <c r="E25" t="s">
        <v>2837</v>
      </c>
      <c r="F25" t="s">
        <v>2795</v>
      </c>
      <c r="G25" t="s">
        <v>1673</v>
      </c>
    </row>
    <row r="26" spans="1:7" ht="11.25" customHeight="1">
      <c r="A26" s="301" t="s">
        <v>14</v>
      </c>
      <c r="B26" t="s">
        <v>109</v>
      </c>
      <c r="C26" t="s">
        <v>110</v>
      </c>
      <c r="D26" t="s">
        <v>2838</v>
      </c>
      <c r="E26" t="s">
        <v>2839</v>
      </c>
      <c r="F26" t="s">
        <v>2795</v>
      </c>
      <c r="G26" t="s">
        <v>1677</v>
      </c>
    </row>
    <row r="27" spans="1:7" ht="11.25" customHeight="1">
      <c r="A27" s="301" t="s">
        <v>14</v>
      </c>
      <c r="B27" t="s">
        <v>109</v>
      </c>
      <c r="C27" t="s">
        <v>110</v>
      </c>
      <c r="D27" t="s">
        <v>2840</v>
      </c>
      <c r="E27" t="s">
        <v>2841</v>
      </c>
      <c r="F27" t="s">
        <v>2795</v>
      </c>
      <c r="G27" t="s">
        <v>1682</v>
      </c>
    </row>
    <row r="28" spans="1:7" ht="11.25" customHeight="1">
      <c r="A28" s="301" t="s">
        <v>14</v>
      </c>
      <c r="B28" t="s">
        <v>109</v>
      </c>
      <c r="C28" t="s">
        <v>110</v>
      </c>
      <c r="D28" t="s">
        <v>2842</v>
      </c>
      <c r="E28" t="s">
        <v>2843</v>
      </c>
      <c r="F28" t="s">
        <v>2795</v>
      </c>
      <c r="G28" t="s">
        <v>1690</v>
      </c>
    </row>
    <row r="29" spans="1:7" ht="11.25" customHeight="1">
      <c r="A29" s="301" t="s">
        <v>14</v>
      </c>
      <c r="B29" t="s">
        <v>109</v>
      </c>
      <c r="C29" t="s">
        <v>110</v>
      </c>
      <c r="D29" t="s">
        <v>2844</v>
      </c>
      <c r="E29" t="s">
        <v>2845</v>
      </c>
      <c r="F29" t="s">
        <v>2795</v>
      </c>
      <c r="G29" t="s">
        <v>1692</v>
      </c>
    </row>
    <row r="30" spans="1:7" ht="11.25" customHeight="1">
      <c r="A30" s="301" t="s">
        <v>14</v>
      </c>
      <c r="B30" t="s">
        <v>109</v>
      </c>
      <c r="C30" t="s">
        <v>110</v>
      </c>
      <c r="D30" t="s">
        <v>2846</v>
      </c>
      <c r="E30" t="s">
        <v>2847</v>
      </c>
      <c r="F30" t="s">
        <v>2848</v>
      </c>
      <c r="G30" t="s">
        <v>1695</v>
      </c>
    </row>
    <row r="31" spans="1:7" ht="11.25" customHeight="1">
      <c r="A31" s="301" t="s">
        <v>14</v>
      </c>
      <c r="B31" t="s">
        <v>109</v>
      </c>
      <c r="C31" t="s">
        <v>110</v>
      </c>
      <c r="D31" t="s">
        <v>2849</v>
      </c>
      <c r="E31" t="s">
        <v>2850</v>
      </c>
      <c r="F31" t="s">
        <v>2811</v>
      </c>
      <c r="G31" t="s">
        <v>1701</v>
      </c>
    </row>
    <row r="32" spans="1:7" ht="11.25" customHeight="1">
      <c r="A32" s="301" t="s">
        <v>14</v>
      </c>
      <c r="B32" t="s">
        <v>109</v>
      </c>
      <c r="C32" t="s">
        <v>110</v>
      </c>
      <c r="D32" t="s">
        <v>2851</v>
      </c>
      <c r="E32" t="s">
        <v>2852</v>
      </c>
      <c r="F32" t="s">
        <v>2811</v>
      </c>
      <c r="G32" t="s">
        <v>1703</v>
      </c>
    </row>
    <row r="33" spans="1:7" ht="11.25" customHeight="1">
      <c r="A33" s="301" t="s">
        <v>14</v>
      </c>
      <c r="B33" t="s">
        <v>113</v>
      </c>
      <c r="C33" t="s">
        <v>114</v>
      </c>
      <c r="D33" t="s">
        <v>2853</v>
      </c>
      <c r="E33" t="s">
        <v>2854</v>
      </c>
      <c r="F33" t="s">
        <v>2795</v>
      </c>
      <c r="G33" t="s">
        <v>1705</v>
      </c>
    </row>
    <row r="34" spans="1:7" ht="11.25" customHeight="1">
      <c r="A34" s="301" t="s">
        <v>14</v>
      </c>
      <c r="B34" t="s">
        <v>113</v>
      </c>
      <c r="C34" t="s">
        <v>114</v>
      </c>
      <c r="D34" t="s">
        <v>2855</v>
      </c>
      <c r="E34" t="s">
        <v>2856</v>
      </c>
      <c r="F34" t="s">
        <v>2795</v>
      </c>
      <c r="G34" t="s">
        <v>1707</v>
      </c>
    </row>
    <row r="35" spans="1:7" ht="11.25" customHeight="1">
      <c r="A35" s="301" t="s">
        <v>14</v>
      </c>
      <c r="B35" t="s">
        <v>113</v>
      </c>
      <c r="C35" t="s">
        <v>114</v>
      </c>
      <c r="D35" t="s">
        <v>2857</v>
      </c>
      <c r="E35" t="s">
        <v>2858</v>
      </c>
      <c r="F35" t="s">
        <v>2795</v>
      </c>
      <c r="G35" t="s">
        <v>1712</v>
      </c>
    </row>
    <row r="36" spans="1:7" ht="11.25" customHeight="1">
      <c r="A36" s="301" t="s">
        <v>14</v>
      </c>
      <c r="B36" t="s">
        <v>113</v>
      </c>
      <c r="C36" t="s">
        <v>114</v>
      </c>
      <c r="D36" t="s">
        <v>113</v>
      </c>
      <c r="E36" t="s">
        <v>114</v>
      </c>
      <c r="F36" t="s">
        <v>2796</v>
      </c>
      <c r="G36" t="s">
        <v>112</v>
      </c>
    </row>
    <row r="37" spans="1:7" ht="11.25" customHeight="1">
      <c r="A37" s="301" t="s">
        <v>14</v>
      </c>
      <c r="B37" t="s">
        <v>113</v>
      </c>
      <c r="C37" t="s">
        <v>114</v>
      </c>
      <c r="D37" t="s">
        <v>2859</v>
      </c>
      <c r="E37" t="s">
        <v>2860</v>
      </c>
      <c r="F37" t="s">
        <v>2795</v>
      </c>
      <c r="G37" t="s">
        <v>1720</v>
      </c>
    </row>
    <row r="38" spans="1:7" ht="11.25" customHeight="1">
      <c r="A38" s="301" t="s">
        <v>14</v>
      </c>
      <c r="B38" t="s">
        <v>113</v>
      </c>
      <c r="C38" t="s">
        <v>114</v>
      </c>
      <c r="D38" t="s">
        <v>2861</v>
      </c>
      <c r="E38" t="s">
        <v>2862</v>
      </c>
      <c r="F38" t="s">
        <v>2795</v>
      </c>
      <c r="G38" t="s">
        <v>1728</v>
      </c>
    </row>
    <row r="39" spans="1:7" ht="11.25" customHeight="1">
      <c r="A39" s="301" t="s">
        <v>14</v>
      </c>
      <c r="B39" t="s">
        <v>113</v>
      </c>
      <c r="C39" t="s">
        <v>114</v>
      </c>
      <c r="D39" t="s">
        <v>2863</v>
      </c>
      <c r="E39" t="s">
        <v>2864</v>
      </c>
      <c r="F39" t="s">
        <v>2795</v>
      </c>
      <c r="G39" t="s">
        <v>1734</v>
      </c>
    </row>
    <row r="40" spans="1:7" ht="11.25" customHeight="1">
      <c r="A40" s="301" t="s">
        <v>14</v>
      </c>
      <c r="B40" t="s">
        <v>113</v>
      </c>
      <c r="C40" t="s">
        <v>114</v>
      </c>
      <c r="D40" t="s">
        <v>2865</v>
      </c>
      <c r="E40" t="s">
        <v>2866</v>
      </c>
      <c r="F40" t="s">
        <v>2795</v>
      </c>
      <c r="G40" t="s">
        <v>1739</v>
      </c>
    </row>
    <row r="41" spans="1:7" ht="11.25" customHeight="1">
      <c r="A41" s="301" t="s">
        <v>14</v>
      </c>
      <c r="B41" t="s">
        <v>113</v>
      </c>
      <c r="C41" t="s">
        <v>114</v>
      </c>
      <c r="D41" t="s">
        <v>2867</v>
      </c>
      <c r="E41" t="s">
        <v>2868</v>
      </c>
      <c r="F41" t="s">
        <v>2795</v>
      </c>
      <c r="G41" t="s">
        <v>1743</v>
      </c>
    </row>
    <row r="42" spans="1:7" ht="11.25" customHeight="1">
      <c r="A42" s="301" t="s">
        <v>14</v>
      </c>
      <c r="B42" t="s">
        <v>113</v>
      </c>
      <c r="C42" t="s">
        <v>114</v>
      </c>
      <c r="D42" t="s">
        <v>2869</v>
      </c>
      <c r="E42" t="s">
        <v>2870</v>
      </c>
      <c r="F42" t="s">
        <v>2811</v>
      </c>
      <c r="G42" t="s">
        <v>1746</v>
      </c>
    </row>
    <row r="43" spans="1:7" ht="11.25" customHeight="1">
      <c r="A43" s="301" t="s">
        <v>14</v>
      </c>
      <c r="B43" t="s">
        <v>118</v>
      </c>
      <c r="C43" t="s">
        <v>119</v>
      </c>
      <c r="D43" t="s">
        <v>2871</v>
      </c>
      <c r="E43" t="s">
        <v>2872</v>
      </c>
      <c r="F43" t="s">
        <v>2795</v>
      </c>
      <c r="G43" t="s">
        <v>1753</v>
      </c>
    </row>
    <row r="44" spans="1:7" ht="11.25" customHeight="1">
      <c r="A44" s="301" t="s">
        <v>14</v>
      </c>
      <c r="B44" t="s">
        <v>118</v>
      </c>
      <c r="C44" t="s">
        <v>119</v>
      </c>
      <c r="D44" t="s">
        <v>118</v>
      </c>
      <c r="E44" t="s">
        <v>119</v>
      </c>
      <c r="F44" t="s">
        <v>2796</v>
      </c>
      <c r="G44" t="s">
        <v>117</v>
      </c>
    </row>
    <row r="45" spans="1:7" ht="11.25" customHeight="1">
      <c r="A45" s="301" t="s">
        <v>14</v>
      </c>
      <c r="B45" t="s">
        <v>118</v>
      </c>
      <c r="C45" t="s">
        <v>119</v>
      </c>
      <c r="D45" t="s">
        <v>2873</v>
      </c>
      <c r="E45" t="s">
        <v>2874</v>
      </c>
      <c r="F45" t="s">
        <v>2795</v>
      </c>
      <c r="G45" t="s">
        <v>1766</v>
      </c>
    </row>
    <row r="46" spans="1:7" ht="11.25" customHeight="1">
      <c r="A46" s="301" t="s">
        <v>14</v>
      </c>
      <c r="B46" t="s">
        <v>118</v>
      </c>
      <c r="C46" t="s">
        <v>119</v>
      </c>
      <c r="D46" t="s">
        <v>2875</v>
      </c>
      <c r="E46" t="s">
        <v>2876</v>
      </c>
      <c r="F46" t="s">
        <v>2795</v>
      </c>
      <c r="G46" t="s">
        <v>1770</v>
      </c>
    </row>
    <row r="47" spans="1:7" ht="11.25" customHeight="1">
      <c r="A47" s="301" t="s">
        <v>14</v>
      </c>
      <c r="B47" t="s">
        <v>118</v>
      </c>
      <c r="C47" t="s">
        <v>119</v>
      </c>
      <c r="D47" t="s">
        <v>2877</v>
      </c>
      <c r="E47" t="s">
        <v>2878</v>
      </c>
      <c r="F47" t="s">
        <v>2795</v>
      </c>
      <c r="G47" t="s">
        <v>1776</v>
      </c>
    </row>
    <row r="48" spans="1:7" ht="11.25" customHeight="1">
      <c r="A48" s="301" t="s">
        <v>14</v>
      </c>
      <c r="B48" t="s">
        <v>118</v>
      </c>
      <c r="C48" t="s">
        <v>119</v>
      </c>
      <c r="D48" t="s">
        <v>2879</v>
      </c>
      <c r="E48" t="s">
        <v>2880</v>
      </c>
      <c r="F48" t="s">
        <v>2795</v>
      </c>
      <c r="G48" t="s">
        <v>1781</v>
      </c>
    </row>
    <row r="49" spans="1:7" ht="11.25" customHeight="1">
      <c r="A49" s="301" t="s">
        <v>14</v>
      </c>
      <c r="B49" t="s">
        <v>118</v>
      </c>
      <c r="C49" t="s">
        <v>119</v>
      </c>
      <c r="D49" t="s">
        <v>2881</v>
      </c>
      <c r="E49" t="s">
        <v>2882</v>
      </c>
      <c r="F49" t="s">
        <v>2795</v>
      </c>
      <c r="G49" t="s">
        <v>1784</v>
      </c>
    </row>
    <row r="50" spans="1:7" ht="11.25" customHeight="1">
      <c r="A50" s="301" t="s">
        <v>14</v>
      </c>
      <c r="B50" t="s">
        <v>118</v>
      </c>
      <c r="C50" t="s">
        <v>119</v>
      </c>
      <c r="D50" t="s">
        <v>2883</v>
      </c>
      <c r="E50" t="s">
        <v>2884</v>
      </c>
      <c r="F50" t="s">
        <v>2795</v>
      </c>
      <c r="G50" t="s">
        <v>1788</v>
      </c>
    </row>
    <row r="51" spans="1:7" ht="11.25" customHeight="1">
      <c r="A51" s="301" t="s">
        <v>14</v>
      </c>
      <c r="B51" t="s">
        <v>118</v>
      </c>
      <c r="C51" t="s">
        <v>119</v>
      </c>
      <c r="D51" t="s">
        <v>2885</v>
      </c>
      <c r="E51" t="s">
        <v>2886</v>
      </c>
      <c r="F51" t="s">
        <v>2795</v>
      </c>
      <c r="G51" t="s">
        <v>1792</v>
      </c>
    </row>
    <row r="52" spans="1:7" ht="11.25" customHeight="1">
      <c r="A52" s="301" t="s">
        <v>14</v>
      </c>
      <c r="B52" t="s">
        <v>118</v>
      </c>
      <c r="C52" t="s">
        <v>119</v>
      </c>
      <c r="D52" t="s">
        <v>2887</v>
      </c>
      <c r="E52" t="s">
        <v>2888</v>
      </c>
      <c r="F52" t="s">
        <v>2811</v>
      </c>
      <c r="G52" t="s">
        <v>1796</v>
      </c>
    </row>
    <row r="53" spans="1:7" ht="11.25" customHeight="1">
      <c r="A53" s="301" t="s">
        <v>14</v>
      </c>
      <c r="B53" t="s">
        <v>122</v>
      </c>
      <c r="C53" t="s">
        <v>123</v>
      </c>
      <c r="D53" t="s">
        <v>2889</v>
      </c>
      <c r="E53" t="s">
        <v>2890</v>
      </c>
      <c r="F53" t="s">
        <v>2795</v>
      </c>
      <c r="G53" t="s">
        <v>1798</v>
      </c>
    </row>
    <row r="54" spans="1:7" ht="11.25" customHeight="1">
      <c r="A54" s="301" t="s">
        <v>14</v>
      </c>
      <c r="B54" t="s">
        <v>122</v>
      </c>
      <c r="C54" t="s">
        <v>123</v>
      </c>
      <c r="D54" t="s">
        <v>2891</v>
      </c>
      <c r="E54" t="s">
        <v>2892</v>
      </c>
      <c r="F54" t="s">
        <v>2795</v>
      </c>
      <c r="G54" t="s">
        <v>1801</v>
      </c>
    </row>
    <row r="55" spans="1:7" ht="11.25" customHeight="1">
      <c r="A55" s="301" t="s">
        <v>14</v>
      </c>
      <c r="B55" t="s">
        <v>122</v>
      </c>
      <c r="C55" t="s">
        <v>123</v>
      </c>
      <c r="D55" t="s">
        <v>2893</v>
      </c>
      <c r="E55" t="s">
        <v>2894</v>
      </c>
      <c r="F55" t="s">
        <v>2795</v>
      </c>
      <c r="G55" t="s">
        <v>1805</v>
      </c>
    </row>
    <row r="56" spans="1:7" ht="11.25" customHeight="1">
      <c r="A56" s="301" t="s">
        <v>14</v>
      </c>
      <c r="B56" t="s">
        <v>122</v>
      </c>
      <c r="C56" t="s">
        <v>123</v>
      </c>
      <c r="D56" t="s">
        <v>122</v>
      </c>
      <c r="E56" t="s">
        <v>123</v>
      </c>
      <c r="F56" t="s">
        <v>2796</v>
      </c>
      <c r="G56" t="s">
        <v>121</v>
      </c>
    </row>
    <row r="57" spans="1:7" ht="11.25" customHeight="1">
      <c r="A57" s="301" t="s">
        <v>14</v>
      </c>
      <c r="B57" t="s">
        <v>122</v>
      </c>
      <c r="C57" t="s">
        <v>123</v>
      </c>
      <c r="D57" t="s">
        <v>2895</v>
      </c>
      <c r="E57" t="s">
        <v>2896</v>
      </c>
      <c r="F57" t="s">
        <v>2795</v>
      </c>
      <c r="G57" t="s">
        <v>1810</v>
      </c>
    </row>
    <row r="58" spans="1:7" ht="11.25" customHeight="1">
      <c r="A58" s="301" t="s">
        <v>14</v>
      </c>
      <c r="B58" t="s">
        <v>122</v>
      </c>
      <c r="C58" t="s">
        <v>123</v>
      </c>
      <c r="D58" t="s">
        <v>2897</v>
      </c>
      <c r="E58" t="s">
        <v>2898</v>
      </c>
      <c r="F58" t="s">
        <v>2795</v>
      </c>
      <c r="G58" t="s">
        <v>1813</v>
      </c>
    </row>
    <row r="59" spans="1:7" ht="11.25" customHeight="1">
      <c r="A59" s="301" t="s">
        <v>14</v>
      </c>
      <c r="B59" t="s">
        <v>122</v>
      </c>
      <c r="C59" t="s">
        <v>123</v>
      </c>
      <c r="D59" t="s">
        <v>2899</v>
      </c>
      <c r="E59" t="s">
        <v>2900</v>
      </c>
      <c r="F59" t="s">
        <v>2811</v>
      </c>
      <c r="G59" t="s">
        <v>1817</v>
      </c>
    </row>
    <row r="60" spans="1:7" ht="11.25" customHeight="1">
      <c r="A60" s="301" t="s">
        <v>14</v>
      </c>
      <c r="B60" t="s">
        <v>126</v>
      </c>
      <c r="C60" t="s">
        <v>127</v>
      </c>
      <c r="D60" t="s">
        <v>2901</v>
      </c>
      <c r="E60" t="s">
        <v>2902</v>
      </c>
      <c r="F60" t="s">
        <v>2795</v>
      </c>
      <c r="G60" t="s">
        <v>1819</v>
      </c>
    </row>
    <row r="61" spans="1:7" ht="11.25" customHeight="1">
      <c r="A61" s="301" t="s">
        <v>14</v>
      </c>
      <c r="B61" t="s">
        <v>126</v>
      </c>
      <c r="C61" t="s">
        <v>127</v>
      </c>
      <c r="D61" t="s">
        <v>2903</v>
      </c>
      <c r="E61" t="s">
        <v>2904</v>
      </c>
      <c r="F61" t="s">
        <v>2795</v>
      </c>
      <c r="G61" t="s">
        <v>2905</v>
      </c>
    </row>
    <row r="62" spans="1:7" ht="11.25" customHeight="1">
      <c r="A62" s="301" t="s">
        <v>14</v>
      </c>
      <c r="B62" t="s">
        <v>126</v>
      </c>
      <c r="C62" t="s">
        <v>127</v>
      </c>
      <c r="D62" t="s">
        <v>2906</v>
      </c>
      <c r="E62" t="s">
        <v>2907</v>
      </c>
      <c r="F62" t="s">
        <v>2795</v>
      </c>
      <c r="G62" t="s">
        <v>2908</v>
      </c>
    </row>
    <row r="63" spans="1:7" ht="11.25" customHeight="1">
      <c r="A63" s="301" t="s">
        <v>14</v>
      </c>
      <c r="B63" t="s">
        <v>126</v>
      </c>
      <c r="C63" t="s">
        <v>127</v>
      </c>
      <c r="D63" t="s">
        <v>2909</v>
      </c>
      <c r="E63" t="s">
        <v>2910</v>
      </c>
      <c r="F63" t="s">
        <v>2795</v>
      </c>
      <c r="G63" t="s">
        <v>2911</v>
      </c>
    </row>
    <row r="64" spans="1:7" ht="11.25" customHeight="1">
      <c r="A64" s="301" t="s">
        <v>14</v>
      </c>
      <c r="B64" t="s">
        <v>126</v>
      </c>
      <c r="C64" t="s">
        <v>127</v>
      </c>
      <c r="D64" t="s">
        <v>2820</v>
      </c>
      <c r="E64" t="s">
        <v>2912</v>
      </c>
      <c r="F64" t="s">
        <v>2795</v>
      </c>
      <c r="G64" t="s">
        <v>2913</v>
      </c>
    </row>
    <row r="65" spans="1:7" ht="11.25" customHeight="1">
      <c r="A65" s="301" t="s">
        <v>14</v>
      </c>
      <c r="B65" t="s">
        <v>126</v>
      </c>
      <c r="C65" t="s">
        <v>127</v>
      </c>
      <c r="D65" t="s">
        <v>2914</v>
      </c>
      <c r="E65" t="s">
        <v>2915</v>
      </c>
      <c r="F65" t="s">
        <v>2795</v>
      </c>
      <c r="G65" t="s">
        <v>2916</v>
      </c>
    </row>
    <row r="66" spans="1:7" ht="11.25" customHeight="1">
      <c r="A66" s="301" t="s">
        <v>14</v>
      </c>
      <c r="B66" t="s">
        <v>126</v>
      </c>
      <c r="C66" t="s">
        <v>127</v>
      </c>
      <c r="D66" t="s">
        <v>2917</v>
      </c>
      <c r="E66" t="s">
        <v>2918</v>
      </c>
      <c r="F66" t="s">
        <v>2795</v>
      </c>
      <c r="G66" t="s">
        <v>2919</v>
      </c>
    </row>
    <row r="67" spans="1:7" ht="11.25" customHeight="1">
      <c r="A67" s="301" t="s">
        <v>14</v>
      </c>
      <c r="B67" t="s">
        <v>126</v>
      </c>
      <c r="C67" t="s">
        <v>127</v>
      </c>
      <c r="D67" t="s">
        <v>2920</v>
      </c>
      <c r="E67" t="s">
        <v>2921</v>
      </c>
      <c r="F67" t="s">
        <v>2795</v>
      </c>
      <c r="G67" t="s">
        <v>2040</v>
      </c>
    </row>
    <row r="68" spans="1:7" ht="11.25" customHeight="1">
      <c r="A68" s="301" t="s">
        <v>14</v>
      </c>
      <c r="B68" t="s">
        <v>126</v>
      </c>
      <c r="C68" t="s">
        <v>127</v>
      </c>
      <c r="D68" t="s">
        <v>126</v>
      </c>
      <c r="E68" t="s">
        <v>127</v>
      </c>
      <c r="F68" t="s">
        <v>2796</v>
      </c>
      <c r="G68" t="s">
        <v>125</v>
      </c>
    </row>
    <row r="69" spans="1:7" ht="11.25" customHeight="1">
      <c r="A69" s="301" t="s">
        <v>14</v>
      </c>
      <c r="B69" t="s">
        <v>126</v>
      </c>
      <c r="C69" t="s">
        <v>127</v>
      </c>
      <c r="D69" t="s">
        <v>2922</v>
      </c>
      <c r="E69" t="s">
        <v>2923</v>
      </c>
      <c r="F69" t="s">
        <v>2795</v>
      </c>
      <c r="G69" t="s">
        <v>2251</v>
      </c>
    </row>
    <row r="70" spans="1:7" ht="11.25" customHeight="1">
      <c r="A70" s="301" t="s">
        <v>14</v>
      </c>
      <c r="B70" t="s">
        <v>126</v>
      </c>
      <c r="C70" t="s">
        <v>127</v>
      </c>
      <c r="D70" t="s">
        <v>2924</v>
      </c>
      <c r="E70" t="s">
        <v>2925</v>
      </c>
      <c r="F70" t="s">
        <v>2795</v>
      </c>
      <c r="G70" t="s">
        <v>2926</v>
      </c>
    </row>
    <row r="71" spans="1:7" ht="11.25" customHeight="1">
      <c r="A71" s="301" t="s">
        <v>14</v>
      </c>
      <c r="B71" t="s">
        <v>126</v>
      </c>
      <c r="C71" t="s">
        <v>127</v>
      </c>
      <c r="D71" t="s">
        <v>2927</v>
      </c>
      <c r="E71" t="s">
        <v>2928</v>
      </c>
      <c r="F71" t="s">
        <v>2795</v>
      </c>
      <c r="G71" t="s">
        <v>2929</v>
      </c>
    </row>
    <row r="72" spans="1:7" ht="11.25" customHeight="1">
      <c r="A72" s="301" t="s">
        <v>14</v>
      </c>
      <c r="B72" t="s">
        <v>126</v>
      </c>
      <c r="C72" t="s">
        <v>127</v>
      </c>
      <c r="D72" t="s">
        <v>2930</v>
      </c>
      <c r="E72" t="s">
        <v>2931</v>
      </c>
      <c r="F72" t="s">
        <v>2795</v>
      </c>
      <c r="G72" t="s">
        <v>2932</v>
      </c>
    </row>
    <row r="73" spans="1:7" ht="11.25" customHeight="1">
      <c r="A73" s="301" t="s">
        <v>14</v>
      </c>
      <c r="B73" t="s">
        <v>126</v>
      </c>
      <c r="C73" t="s">
        <v>127</v>
      </c>
      <c r="D73" t="s">
        <v>2933</v>
      </c>
      <c r="E73" t="s">
        <v>2934</v>
      </c>
      <c r="F73" t="s">
        <v>2795</v>
      </c>
      <c r="G73" t="s">
        <v>2935</v>
      </c>
    </row>
    <row r="74" spans="1:7" ht="11.25" customHeight="1">
      <c r="A74" s="301" t="s">
        <v>14</v>
      </c>
      <c r="B74" t="s">
        <v>126</v>
      </c>
      <c r="C74" t="s">
        <v>127</v>
      </c>
      <c r="D74" t="s">
        <v>2936</v>
      </c>
      <c r="E74" t="s">
        <v>2937</v>
      </c>
      <c r="F74" t="s">
        <v>2795</v>
      </c>
      <c r="G74" t="s">
        <v>2938</v>
      </c>
    </row>
    <row r="75" spans="1:7" ht="11.25" customHeight="1">
      <c r="A75" s="301" t="s">
        <v>14</v>
      </c>
      <c r="B75" t="s">
        <v>126</v>
      </c>
      <c r="C75" t="s">
        <v>127</v>
      </c>
      <c r="D75" t="s">
        <v>2939</v>
      </c>
      <c r="E75" t="s">
        <v>2940</v>
      </c>
      <c r="F75" t="s">
        <v>2795</v>
      </c>
      <c r="G75" t="s">
        <v>2941</v>
      </c>
    </row>
    <row r="76" spans="1:7" ht="11.25" customHeight="1">
      <c r="A76" s="301" t="s">
        <v>14</v>
      </c>
      <c r="B76" t="s">
        <v>126</v>
      </c>
      <c r="C76" t="s">
        <v>127</v>
      </c>
      <c r="D76" t="s">
        <v>2942</v>
      </c>
      <c r="E76" t="s">
        <v>2943</v>
      </c>
      <c r="F76" t="s">
        <v>2795</v>
      </c>
      <c r="G76" t="s">
        <v>2944</v>
      </c>
    </row>
    <row r="77" spans="1:7" ht="11.25" customHeight="1">
      <c r="A77" s="301" t="s">
        <v>14</v>
      </c>
      <c r="B77" t="s">
        <v>126</v>
      </c>
      <c r="C77" t="s">
        <v>127</v>
      </c>
      <c r="D77" t="s">
        <v>2945</v>
      </c>
      <c r="E77" t="s">
        <v>2946</v>
      </c>
      <c r="F77" t="s">
        <v>2795</v>
      </c>
      <c r="G77" t="s">
        <v>2947</v>
      </c>
    </row>
    <row r="78" spans="1:7" ht="11.25" customHeight="1">
      <c r="A78" s="301" t="s">
        <v>14</v>
      </c>
      <c r="B78" t="s">
        <v>126</v>
      </c>
      <c r="C78" t="s">
        <v>127</v>
      </c>
      <c r="D78" t="s">
        <v>2948</v>
      </c>
      <c r="E78" t="s">
        <v>2949</v>
      </c>
      <c r="F78" t="s">
        <v>2795</v>
      </c>
      <c r="G78" t="s">
        <v>2950</v>
      </c>
    </row>
    <row r="79" spans="1:7" ht="11.25" customHeight="1">
      <c r="A79" s="301" t="s">
        <v>14</v>
      </c>
      <c r="B79" t="s">
        <v>126</v>
      </c>
      <c r="C79" t="s">
        <v>127</v>
      </c>
      <c r="D79" t="s">
        <v>2951</v>
      </c>
      <c r="E79" t="s">
        <v>2952</v>
      </c>
      <c r="F79" t="s">
        <v>2795</v>
      </c>
      <c r="G79" t="s">
        <v>2953</v>
      </c>
    </row>
    <row r="80" spans="1:7" ht="11.25" customHeight="1">
      <c r="A80" s="301" t="s">
        <v>14</v>
      </c>
      <c r="B80" t="s">
        <v>126</v>
      </c>
      <c r="C80" t="s">
        <v>127</v>
      </c>
      <c r="D80" t="s">
        <v>2954</v>
      </c>
      <c r="E80" t="s">
        <v>2955</v>
      </c>
      <c r="F80" t="s">
        <v>2811</v>
      </c>
      <c r="G80" t="s">
        <v>2956</v>
      </c>
    </row>
    <row r="81" spans="1:7" ht="11.25" customHeight="1">
      <c r="A81" s="301" t="s">
        <v>14</v>
      </c>
      <c r="B81" t="s">
        <v>126</v>
      </c>
      <c r="C81" t="s">
        <v>127</v>
      </c>
      <c r="D81" t="s">
        <v>2957</v>
      </c>
      <c r="E81" t="s">
        <v>2958</v>
      </c>
      <c r="F81" t="s">
        <v>2811</v>
      </c>
      <c r="G81" t="s">
        <v>2959</v>
      </c>
    </row>
    <row r="82" spans="1:7" ht="11.25" customHeight="1">
      <c r="A82" s="301" t="s">
        <v>14</v>
      </c>
      <c r="B82" t="s">
        <v>131</v>
      </c>
      <c r="C82" t="s">
        <v>132</v>
      </c>
      <c r="D82" t="s">
        <v>2960</v>
      </c>
      <c r="E82" t="s">
        <v>2961</v>
      </c>
      <c r="F82" t="s">
        <v>2795</v>
      </c>
      <c r="G82" t="s">
        <v>2962</v>
      </c>
    </row>
    <row r="83" spans="1:7" ht="11.25" customHeight="1">
      <c r="A83" s="301" t="s">
        <v>14</v>
      </c>
      <c r="B83" t="s">
        <v>131</v>
      </c>
      <c r="C83" t="s">
        <v>132</v>
      </c>
      <c r="D83" t="s">
        <v>2963</v>
      </c>
      <c r="E83" t="s">
        <v>2964</v>
      </c>
      <c r="F83" t="s">
        <v>2795</v>
      </c>
      <c r="G83" t="s">
        <v>2965</v>
      </c>
    </row>
    <row r="84" spans="1:7" ht="11.25" customHeight="1">
      <c r="A84" s="301" t="s">
        <v>14</v>
      </c>
      <c r="B84" t="s">
        <v>131</v>
      </c>
      <c r="C84" t="s">
        <v>132</v>
      </c>
      <c r="D84" t="s">
        <v>2966</v>
      </c>
      <c r="E84" t="s">
        <v>2967</v>
      </c>
      <c r="F84" t="s">
        <v>2795</v>
      </c>
      <c r="G84" t="s">
        <v>2968</v>
      </c>
    </row>
    <row r="85" spans="1:7" ht="11.25" customHeight="1">
      <c r="A85" s="301" t="s">
        <v>14</v>
      </c>
      <c r="B85" t="s">
        <v>131</v>
      </c>
      <c r="C85" t="s">
        <v>132</v>
      </c>
      <c r="D85" t="s">
        <v>131</v>
      </c>
      <c r="E85" t="s">
        <v>132</v>
      </c>
      <c r="F85" t="s">
        <v>2796</v>
      </c>
      <c r="G85" t="s">
        <v>130</v>
      </c>
    </row>
    <row r="86" spans="1:7" ht="11.25" customHeight="1">
      <c r="A86" s="301" t="s">
        <v>14</v>
      </c>
      <c r="B86" t="s">
        <v>131</v>
      </c>
      <c r="C86" t="s">
        <v>132</v>
      </c>
      <c r="D86" t="s">
        <v>2969</v>
      </c>
      <c r="E86" t="s">
        <v>2970</v>
      </c>
      <c r="F86" t="s">
        <v>2795</v>
      </c>
      <c r="G86" t="s">
        <v>2971</v>
      </c>
    </row>
    <row r="87" spans="1:7" ht="11.25" customHeight="1">
      <c r="A87" s="301" t="s">
        <v>14</v>
      </c>
      <c r="B87" t="s">
        <v>131</v>
      </c>
      <c r="C87" t="s">
        <v>132</v>
      </c>
      <c r="D87" t="s">
        <v>2972</v>
      </c>
      <c r="E87" t="s">
        <v>2973</v>
      </c>
      <c r="F87" t="s">
        <v>2795</v>
      </c>
      <c r="G87" t="s">
        <v>2974</v>
      </c>
    </row>
    <row r="88" spans="1:7" ht="11.25" customHeight="1">
      <c r="A88" s="301" t="s">
        <v>14</v>
      </c>
      <c r="B88" t="s">
        <v>131</v>
      </c>
      <c r="C88" t="s">
        <v>132</v>
      </c>
      <c r="D88" t="s">
        <v>2975</v>
      </c>
      <c r="E88" t="s">
        <v>2976</v>
      </c>
      <c r="F88" t="s">
        <v>2795</v>
      </c>
      <c r="G88" t="s">
        <v>2977</v>
      </c>
    </row>
    <row r="89" spans="1:7" ht="11.25" customHeight="1">
      <c r="A89" s="301" t="s">
        <v>14</v>
      </c>
      <c r="B89" t="s">
        <v>131</v>
      </c>
      <c r="C89" t="s">
        <v>132</v>
      </c>
      <c r="D89" t="s">
        <v>2978</v>
      </c>
      <c r="E89" t="s">
        <v>2979</v>
      </c>
      <c r="F89" t="s">
        <v>2795</v>
      </c>
      <c r="G89" t="s">
        <v>2980</v>
      </c>
    </row>
    <row r="90" spans="1:7" ht="11.25" customHeight="1">
      <c r="A90" s="301" t="s">
        <v>14</v>
      </c>
      <c r="B90" t="s">
        <v>131</v>
      </c>
      <c r="C90" t="s">
        <v>132</v>
      </c>
      <c r="D90" t="s">
        <v>2981</v>
      </c>
      <c r="E90" t="s">
        <v>2982</v>
      </c>
      <c r="F90" t="s">
        <v>2795</v>
      </c>
      <c r="G90" t="s">
        <v>2983</v>
      </c>
    </row>
    <row r="91" spans="1:7" ht="11.25" customHeight="1">
      <c r="A91" s="301" t="s">
        <v>14</v>
      </c>
      <c r="B91" t="s">
        <v>131</v>
      </c>
      <c r="C91" t="s">
        <v>132</v>
      </c>
      <c r="D91" t="s">
        <v>2984</v>
      </c>
      <c r="E91" t="s">
        <v>2985</v>
      </c>
      <c r="F91" t="s">
        <v>2795</v>
      </c>
      <c r="G91" t="s">
        <v>2986</v>
      </c>
    </row>
    <row r="92" spans="1:7" ht="11.25" customHeight="1">
      <c r="A92" s="301" t="s">
        <v>14</v>
      </c>
      <c r="B92" t="s">
        <v>131</v>
      </c>
      <c r="C92" t="s">
        <v>132</v>
      </c>
      <c r="D92" t="s">
        <v>2987</v>
      </c>
      <c r="E92" t="s">
        <v>2988</v>
      </c>
      <c r="F92" t="s">
        <v>2811</v>
      </c>
      <c r="G92" t="s">
        <v>2989</v>
      </c>
    </row>
    <row r="93" spans="1:7" ht="11.25" customHeight="1">
      <c r="A93" s="301" t="s">
        <v>14</v>
      </c>
      <c r="B93" t="s">
        <v>136</v>
      </c>
      <c r="C93" t="s">
        <v>137</v>
      </c>
      <c r="D93" t="s">
        <v>2990</v>
      </c>
      <c r="E93" t="s">
        <v>2991</v>
      </c>
      <c r="F93" t="s">
        <v>2795</v>
      </c>
      <c r="G93" t="s">
        <v>2992</v>
      </c>
    </row>
    <row r="94" spans="1:7" ht="11.25" customHeight="1">
      <c r="A94" s="301" t="s">
        <v>14</v>
      </c>
      <c r="B94" t="s">
        <v>136</v>
      </c>
      <c r="C94" t="s">
        <v>137</v>
      </c>
      <c r="D94" t="s">
        <v>136</v>
      </c>
      <c r="E94" t="s">
        <v>137</v>
      </c>
      <c r="F94" t="s">
        <v>2796</v>
      </c>
      <c r="G94" t="s">
        <v>135</v>
      </c>
    </row>
    <row r="95" spans="1:7" ht="11.25" customHeight="1">
      <c r="A95" s="301" t="s">
        <v>14</v>
      </c>
      <c r="B95" t="s">
        <v>136</v>
      </c>
      <c r="C95" t="s">
        <v>137</v>
      </c>
      <c r="D95" t="s">
        <v>2993</v>
      </c>
      <c r="E95" t="s">
        <v>2994</v>
      </c>
      <c r="F95" t="s">
        <v>2795</v>
      </c>
      <c r="G95" t="s">
        <v>2995</v>
      </c>
    </row>
    <row r="96" spans="1:7" ht="11.25" customHeight="1">
      <c r="A96" s="301" t="s">
        <v>14</v>
      </c>
      <c r="B96" t="s">
        <v>136</v>
      </c>
      <c r="C96" t="s">
        <v>137</v>
      </c>
      <c r="D96" t="s">
        <v>2996</v>
      </c>
      <c r="E96" t="s">
        <v>2997</v>
      </c>
      <c r="F96" t="s">
        <v>2795</v>
      </c>
      <c r="G96" t="s">
        <v>2998</v>
      </c>
    </row>
    <row r="97" spans="1:7" ht="11.25" customHeight="1">
      <c r="A97" s="301" t="s">
        <v>14</v>
      </c>
      <c r="B97" t="s">
        <v>136</v>
      </c>
      <c r="C97" t="s">
        <v>137</v>
      </c>
      <c r="D97" t="s">
        <v>2999</v>
      </c>
      <c r="E97" t="s">
        <v>3000</v>
      </c>
      <c r="F97" t="s">
        <v>2795</v>
      </c>
      <c r="G97" t="s">
        <v>3001</v>
      </c>
    </row>
    <row r="98" spans="1:7" ht="11.25" customHeight="1">
      <c r="A98" s="301" t="s">
        <v>14</v>
      </c>
      <c r="B98" t="s">
        <v>136</v>
      </c>
      <c r="C98" t="s">
        <v>137</v>
      </c>
      <c r="D98" t="s">
        <v>3002</v>
      </c>
      <c r="E98" t="s">
        <v>3003</v>
      </c>
      <c r="F98" t="s">
        <v>2811</v>
      </c>
      <c r="G98" t="s">
        <v>3004</v>
      </c>
    </row>
    <row r="99" spans="1:7" ht="11.25" customHeight="1">
      <c r="A99" s="301" t="s">
        <v>14</v>
      </c>
      <c r="B99" t="s">
        <v>141</v>
      </c>
      <c r="C99" t="s">
        <v>142</v>
      </c>
      <c r="D99" t="s">
        <v>3005</v>
      </c>
      <c r="E99" t="s">
        <v>3006</v>
      </c>
      <c r="F99" t="s">
        <v>2795</v>
      </c>
      <c r="G99" t="s">
        <v>3007</v>
      </c>
    </row>
    <row r="100" spans="1:7" ht="11.25" customHeight="1">
      <c r="A100" s="301" t="s">
        <v>14</v>
      </c>
      <c r="B100" t="s">
        <v>141</v>
      </c>
      <c r="C100" t="s">
        <v>142</v>
      </c>
      <c r="D100" t="s">
        <v>3008</v>
      </c>
      <c r="E100" t="s">
        <v>3009</v>
      </c>
      <c r="F100" t="s">
        <v>2795</v>
      </c>
      <c r="G100" t="s">
        <v>3010</v>
      </c>
    </row>
    <row r="101" spans="1:7" ht="11.25" customHeight="1">
      <c r="A101" s="301" t="s">
        <v>14</v>
      </c>
      <c r="B101" t="s">
        <v>141</v>
      </c>
      <c r="C101" t="s">
        <v>142</v>
      </c>
      <c r="D101" t="s">
        <v>3011</v>
      </c>
      <c r="E101" t="s">
        <v>3012</v>
      </c>
      <c r="F101" t="s">
        <v>2795</v>
      </c>
      <c r="G101" t="s">
        <v>3013</v>
      </c>
    </row>
    <row r="102" spans="1:7" ht="11.25" customHeight="1">
      <c r="A102" s="301" t="s">
        <v>14</v>
      </c>
      <c r="B102" t="s">
        <v>141</v>
      </c>
      <c r="C102" t="s">
        <v>142</v>
      </c>
      <c r="D102" t="s">
        <v>3014</v>
      </c>
      <c r="E102" t="s">
        <v>3015</v>
      </c>
      <c r="F102" t="s">
        <v>2795</v>
      </c>
      <c r="G102" t="s">
        <v>3016</v>
      </c>
    </row>
    <row r="103" spans="1:7" ht="11.25" customHeight="1">
      <c r="A103" s="301" t="s">
        <v>14</v>
      </c>
      <c r="B103" t="s">
        <v>141</v>
      </c>
      <c r="C103" t="s">
        <v>142</v>
      </c>
      <c r="D103" t="s">
        <v>3017</v>
      </c>
      <c r="E103" t="s">
        <v>3018</v>
      </c>
      <c r="F103" t="s">
        <v>2795</v>
      </c>
      <c r="G103" t="s">
        <v>3019</v>
      </c>
    </row>
    <row r="104" spans="1:7" ht="11.25" customHeight="1">
      <c r="A104" s="301" t="s">
        <v>14</v>
      </c>
      <c r="B104" t="s">
        <v>141</v>
      </c>
      <c r="C104" t="s">
        <v>142</v>
      </c>
      <c r="D104" t="s">
        <v>141</v>
      </c>
      <c r="E104" t="s">
        <v>142</v>
      </c>
      <c r="F104" t="s">
        <v>2796</v>
      </c>
      <c r="G104" t="s">
        <v>140</v>
      </c>
    </row>
    <row r="105" spans="1:7" ht="11.25" customHeight="1">
      <c r="A105" s="301" t="s">
        <v>14</v>
      </c>
      <c r="B105" t="s">
        <v>141</v>
      </c>
      <c r="C105" t="s">
        <v>142</v>
      </c>
      <c r="D105" t="s">
        <v>3020</v>
      </c>
      <c r="E105" t="s">
        <v>3021</v>
      </c>
      <c r="F105" t="s">
        <v>2795</v>
      </c>
      <c r="G105" t="s">
        <v>3022</v>
      </c>
    </row>
    <row r="106" spans="1:7" ht="11.25" customHeight="1">
      <c r="A106" s="301" t="s">
        <v>14</v>
      </c>
      <c r="B106" t="s">
        <v>141</v>
      </c>
      <c r="C106" t="s">
        <v>142</v>
      </c>
      <c r="D106" t="s">
        <v>3023</v>
      </c>
      <c r="E106" t="s">
        <v>3024</v>
      </c>
      <c r="F106" t="s">
        <v>2795</v>
      </c>
      <c r="G106" t="s">
        <v>3025</v>
      </c>
    </row>
    <row r="107" spans="1:7" ht="11.25" customHeight="1">
      <c r="A107" s="301" t="s">
        <v>14</v>
      </c>
      <c r="B107" t="s">
        <v>141</v>
      </c>
      <c r="C107" t="s">
        <v>142</v>
      </c>
      <c r="D107" t="s">
        <v>3026</v>
      </c>
      <c r="E107" t="s">
        <v>3027</v>
      </c>
      <c r="F107" t="s">
        <v>2795</v>
      </c>
      <c r="G107" t="s">
        <v>3028</v>
      </c>
    </row>
    <row r="108" spans="1:7" ht="11.25" customHeight="1">
      <c r="A108" s="301" t="s">
        <v>14</v>
      </c>
      <c r="B108" t="s">
        <v>141</v>
      </c>
      <c r="C108" t="s">
        <v>142</v>
      </c>
      <c r="D108" t="s">
        <v>3029</v>
      </c>
      <c r="E108" t="s">
        <v>3030</v>
      </c>
      <c r="F108" t="s">
        <v>2795</v>
      </c>
      <c r="G108" t="s">
        <v>3031</v>
      </c>
    </row>
    <row r="109" spans="1:7" ht="11.25" customHeight="1">
      <c r="A109" s="301" t="s">
        <v>14</v>
      </c>
      <c r="B109" t="s">
        <v>141</v>
      </c>
      <c r="C109" t="s">
        <v>142</v>
      </c>
      <c r="D109" t="s">
        <v>3032</v>
      </c>
      <c r="E109" t="s">
        <v>3033</v>
      </c>
      <c r="F109" t="s">
        <v>2795</v>
      </c>
      <c r="G109" t="s">
        <v>3034</v>
      </c>
    </row>
    <row r="110" spans="1:7" ht="11.25" customHeight="1">
      <c r="A110" s="301" t="s">
        <v>14</v>
      </c>
      <c r="B110" t="s">
        <v>141</v>
      </c>
      <c r="C110" t="s">
        <v>142</v>
      </c>
      <c r="D110" t="s">
        <v>3035</v>
      </c>
      <c r="E110" t="s">
        <v>3036</v>
      </c>
      <c r="F110" t="s">
        <v>2811</v>
      </c>
      <c r="G110" t="s">
        <v>3037</v>
      </c>
    </row>
    <row r="111" spans="1:7" ht="11.25" customHeight="1">
      <c r="A111" s="301" t="s">
        <v>14</v>
      </c>
      <c r="B111" t="s">
        <v>145</v>
      </c>
      <c r="C111" t="s">
        <v>146</v>
      </c>
      <c r="D111" t="s">
        <v>3038</v>
      </c>
      <c r="E111" t="s">
        <v>3039</v>
      </c>
      <c r="F111" t="s">
        <v>2795</v>
      </c>
      <c r="G111" t="s">
        <v>3040</v>
      </c>
    </row>
    <row r="112" spans="1:7" ht="11.25" customHeight="1">
      <c r="A112" s="301" t="s">
        <v>14</v>
      </c>
      <c r="B112" t="s">
        <v>145</v>
      </c>
      <c r="C112" t="s">
        <v>146</v>
      </c>
      <c r="D112" t="s">
        <v>3041</v>
      </c>
      <c r="E112" t="s">
        <v>3042</v>
      </c>
      <c r="F112" t="s">
        <v>2795</v>
      </c>
      <c r="G112" t="s">
        <v>3043</v>
      </c>
    </row>
    <row r="113" spans="1:7" ht="11.25" customHeight="1">
      <c r="A113" s="301" t="s">
        <v>14</v>
      </c>
      <c r="B113" t="s">
        <v>145</v>
      </c>
      <c r="C113" t="s">
        <v>146</v>
      </c>
      <c r="D113" t="s">
        <v>3044</v>
      </c>
      <c r="E113" t="s">
        <v>3045</v>
      </c>
      <c r="F113" t="s">
        <v>2795</v>
      </c>
      <c r="G113" t="s">
        <v>3046</v>
      </c>
    </row>
    <row r="114" spans="1:7" ht="11.25" customHeight="1">
      <c r="A114" s="301" t="s">
        <v>14</v>
      </c>
      <c r="B114" t="s">
        <v>145</v>
      </c>
      <c r="C114" t="s">
        <v>146</v>
      </c>
      <c r="D114" t="s">
        <v>3047</v>
      </c>
      <c r="E114" t="s">
        <v>3048</v>
      </c>
      <c r="F114" t="s">
        <v>2795</v>
      </c>
      <c r="G114" t="s">
        <v>3049</v>
      </c>
    </row>
    <row r="115" spans="1:7" ht="11.25" customHeight="1">
      <c r="A115" s="301" t="s">
        <v>14</v>
      </c>
      <c r="B115" t="s">
        <v>145</v>
      </c>
      <c r="C115" t="s">
        <v>146</v>
      </c>
      <c r="D115" t="s">
        <v>3050</v>
      </c>
      <c r="E115" t="s">
        <v>3051</v>
      </c>
      <c r="F115" t="s">
        <v>2795</v>
      </c>
      <c r="G115" t="s">
        <v>3052</v>
      </c>
    </row>
    <row r="116" spans="1:7" ht="11.25" customHeight="1">
      <c r="A116" s="301" t="s">
        <v>14</v>
      </c>
      <c r="B116" t="s">
        <v>145</v>
      </c>
      <c r="C116" t="s">
        <v>146</v>
      </c>
      <c r="D116" t="s">
        <v>145</v>
      </c>
      <c r="E116" t="s">
        <v>146</v>
      </c>
      <c r="F116" t="s">
        <v>2796</v>
      </c>
      <c r="G116" t="s">
        <v>144</v>
      </c>
    </row>
    <row r="117" spans="1:7" ht="11.25" customHeight="1">
      <c r="A117" s="301" t="s">
        <v>14</v>
      </c>
      <c r="B117" t="s">
        <v>145</v>
      </c>
      <c r="C117" t="s">
        <v>146</v>
      </c>
      <c r="D117" t="s">
        <v>3053</v>
      </c>
      <c r="E117" t="s">
        <v>3054</v>
      </c>
      <c r="F117" t="s">
        <v>2795</v>
      </c>
      <c r="G117" t="s">
        <v>3055</v>
      </c>
    </row>
    <row r="118" spans="1:7" ht="11.25" customHeight="1">
      <c r="A118" s="301" t="s">
        <v>14</v>
      </c>
      <c r="B118" t="s">
        <v>145</v>
      </c>
      <c r="C118" t="s">
        <v>146</v>
      </c>
      <c r="D118" t="s">
        <v>3056</v>
      </c>
      <c r="E118" t="s">
        <v>3057</v>
      </c>
      <c r="F118" t="s">
        <v>2795</v>
      </c>
      <c r="G118" t="s">
        <v>3058</v>
      </c>
    </row>
    <row r="119" spans="1:7" ht="11.25" customHeight="1">
      <c r="A119" s="301" t="s">
        <v>14</v>
      </c>
      <c r="B119" t="s">
        <v>145</v>
      </c>
      <c r="C119" t="s">
        <v>146</v>
      </c>
      <c r="D119" t="s">
        <v>3059</v>
      </c>
      <c r="E119" t="s">
        <v>3060</v>
      </c>
      <c r="F119" t="s">
        <v>2795</v>
      </c>
      <c r="G119" t="s">
        <v>3061</v>
      </c>
    </row>
    <row r="120" spans="1:7" ht="11.25" customHeight="1">
      <c r="A120" s="301" t="s">
        <v>14</v>
      </c>
      <c r="B120" t="s">
        <v>145</v>
      </c>
      <c r="C120" t="s">
        <v>146</v>
      </c>
      <c r="D120" t="s">
        <v>3062</v>
      </c>
      <c r="E120" t="s">
        <v>3063</v>
      </c>
      <c r="F120" t="s">
        <v>2811</v>
      </c>
      <c r="G120" t="s">
        <v>3064</v>
      </c>
    </row>
    <row r="121" spans="1:7" ht="11.25" customHeight="1">
      <c r="A121" s="301" t="s">
        <v>14</v>
      </c>
      <c r="B121" t="s">
        <v>150</v>
      </c>
      <c r="C121" t="s">
        <v>151</v>
      </c>
      <c r="D121" t="s">
        <v>3065</v>
      </c>
      <c r="E121" t="s">
        <v>3066</v>
      </c>
      <c r="F121" t="s">
        <v>2795</v>
      </c>
      <c r="G121" t="s">
        <v>3067</v>
      </c>
    </row>
    <row r="122" spans="1:7" ht="11.25" customHeight="1">
      <c r="A122" s="301" t="s">
        <v>14</v>
      </c>
      <c r="B122" t="s">
        <v>150</v>
      </c>
      <c r="C122" t="s">
        <v>151</v>
      </c>
      <c r="D122" t="s">
        <v>3068</v>
      </c>
      <c r="E122" t="s">
        <v>3069</v>
      </c>
      <c r="F122" t="s">
        <v>2795</v>
      </c>
      <c r="G122" t="s">
        <v>3070</v>
      </c>
    </row>
    <row r="123" spans="1:7" ht="11.25" customHeight="1">
      <c r="A123" s="301" t="s">
        <v>14</v>
      </c>
      <c r="B123" t="s">
        <v>150</v>
      </c>
      <c r="C123" t="s">
        <v>151</v>
      </c>
      <c r="D123" t="s">
        <v>3071</v>
      </c>
      <c r="E123" t="s">
        <v>3072</v>
      </c>
      <c r="F123" t="s">
        <v>2795</v>
      </c>
      <c r="G123" t="s">
        <v>3073</v>
      </c>
    </row>
    <row r="124" spans="1:7" ht="11.25" customHeight="1">
      <c r="A124" s="301" t="s">
        <v>14</v>
      </c>
      <c r="B124" t="s">
        <v>150</v>
      </c>
      <c r="C124" t="s">
        <v>151</v>
      </c>
      <c r="D124" t="s">
        <v>3074</v>
      </c>
      <c r="E124" t="s">
        <v>3075</v>
      </c>
      <c r="F124" t="s">
        <v>2795</v>
      </c>
      <c r="G124" t="s">
        <v>3076</v>
      </c>
    </row>
    <row r="125" spans="1:7" ht="11.25" customHeight="1">
      <c r="A125" s="301" t="s">
        <v>14</v>
      </c>
      <c r="B125" t="s">
        <v>150</v>
      </c>
      <c r="C125" t="s">
        <v>151</v>
      </c>
      <c r="D125" t="s">
        <v>3077</v>
      </c>
      <c r="E125" t="s">
        <v>3078</v>
      </c>
      <c r="F125" t="s">
        <v>2795</v>
      </c>
      <c r="G125" t="s">
        <v>3079</v>
      </c>
    </row>
    <row r="126" spans="1:7" ht="11.25" customHeight="1">
      <c r="A126" s="301" t="s">
        <v>14</v>
      </c>
      <c r="B126" t="s">
        <v>150</v>
      </c>
      <c r="C126" t="s">
        <v>151</v>
      </c>
      <c r="D126" t="s">
        <v>3080</v>
      </c>
      <c r="E126" t="s">
        <v>3081</v>
      </c>
      <c r="F126" t="s">
        <v>2795</v>
      </c>
      <c r="G126" t="s">
        <v>3082</v>
      </c>
    </row>
    <row r="127" spans="1:7" ht="11.25" customHeight="1">
      <c r="A127" s="301" t="s">
        <v>14</v>
      </c>
      <c r="B127" t="s">
        <v>150</v>
      </c>
      <c r="C127" t="s">
        <v>151</v>
      </c>
      <c r="D127" t="s">
        <v>3083</v>
      </c>
      <c r="E127" t="s">
        <v>3084</v>
      </c>
      <c r="F127" t="s">
        <v>2795</v>
      </c>
      <c r="G127" t="s">
        <v>3085</v>
      </c>
    </row>
    <row r="128" spans="1:7" ht="11.25" customHeight="1">
      <c r="A128" s="301" t="s">
        <v>14</v>
      </c>
      <c r="B128" t="s">
        <v>150</v>
      </c>
      <c r="C128" t="s">
        <v>151</v>
      </c>
      <c r="D128" t="s">
        <v>150</v>
      </c>
      <c r="E128" t="s">
        <v>151</v>
      </c>
      <c r="F128" t="s">
        <v>2796</v>
      </c>
      <c r="G128" t="s">
        <v>149</v>
      </c>
    </row>
    <row r="129" spans="1:7" ht="11.25" customHeight="1">
      <c r="A129" s="301" t="s">
        <v>14</v>
      </c>
      <c r="B129" t="s">
        <v>150</v>
      </c>
      <c r="C129" t="s">
        <v>151</v>
      </c>
      <c r="D129" t="s">
        <v>3086</v>
      </c>
      <c r="E129" t="s">
        <v>3087</v>
      </c>
      <c r="F129" t="s">
        <v>2795</v>
      </c>
      <c r="G129" t="s">
        <v>3088</v>
      </c>
    </row>
    <row r="130" spans="1:7" ht="11.25" customHeight="1">
      <c r="A130" s="301" t="s">
        <v>14</v>
      </c>
      <c r="B130" t="s">
        <v>150</v>
      </c>
      <c r="C130" t="s">
        <v>151</v>
      </c>
      <c r="D130" t="s">
        <v>3089</v>
      </c>
      <c r="E130" t="s">
        <v>3090</v>
      </c>
      <c r="F130" t="s">
        <v>2811</v>
      </c>
      <c r="G130" t="s">
        <v>3091</v>
      </c>
    </row>
    <row r="131" spans="1:7" ht="11.25" customHeight="1">
      <c r="A131" s="301" t="s">
        <v>14</v>
      </c>
      <c r="B131" t="s">
        <v>155</v>
      </c>
      <c r="C131" t="s">
        <v>156</v>
      </c>
      <c r="D131" t="s">
        <v>3092</v>
      </c>
      <c r="E131" t="s">
        <v>3093</v>
      </c>
      <c r="F131" t="s">
        <v>2795</v>
      </c>
      <c r="G131" t="s">
        <v>3094</v>
      </c>
    </row>
    <row r="132" spans="1:7" ht="11.25" customHeight="1">
      <c r="A132" s="301" t="s">
        <v>14</v>
      </c>
      <c r="B132" t="s">
        <v>155</v>
      </c>
      <c r="C132" t="s">
        <v>156</v>
      </c>
      <c r="D132" t="s">
        <v>3095</v>
      </c>
      <c r="E132" t="s">
        <v>3096</v>
      </c>
      <c r="F132" t="s">
        <v>2795</v>
      </c>
      <c r="G132" t="s">
        <v>3097</v>
      </c>
    </row>
    <row r="133" spans="1:7" ht="11.25" customHeight="1">
      <c r="A133" s="301" t="s">
        <v>14</v>
      </c>
      <c r="B133" t="s">
        <v>155</v>
      </c>
      <c r="C133" t="s">
        <v>156</v>
      </c>
      <c r="D133" t="s">
        <v>3098</v>
      </c>
      <c r="E133" t="s">
        <v>3099</v>
      </c>
      <c r="F133" t="s">
        <v>2795</v>
      </c>
      <c r="G133" t="s">
        <v>3100</v>
      </c>
    </row>
    <row r="134" spans="1:7" ht="11.25" customHeight="1">
      <c r="A134" s="301" t="s">
        <v>14</v>
      </c>
      <c r="B134" t="s">
        <v>155</v>
      </c>
      <c r="C134" t="s">
        <v>156</v>
      </c>
      <c r="D134" t="s">
        <v>3101</v>
      </c>
      <c r="E134" t="s">
        <v>3102</v>
      </c>
      <c r="F134" t="s">
        <v>2795</v>
      </c>
      <c r="G134" t="s">
        <v>3103</v>
      </c>
    </row>
    <row r="135" spans="1:7" ht="11.25" customHeight="1">
      <c r="A135" s="301" t="s">
        <v>14</v>
      </c>
      <c r="B135" t="s">
        <v>155</v>
      </c>
      <c r="C135" t="s">
        <v>156</v>
      </c>
      <c r="D135" t="s">
        <v>3104</v>
      </c>
      <c r="E135" t="s">
        <v>3105</v>
      </c>
      <c r="F135" t="s">
        <v>2795</v>
      </c>
      <c r="G135" t="s">
        <v>3106</v>
      </c>
    </row>
    <row r="136" spans="1:7" ht="11.25" customHeight="1">
      <c r="A136" s="301" t="s">
        <v>14</v>
      </c>
      <c r="B136" t="s">
        <v>155</v>
      </c>
      <c r="C136" t="s">
        <v>156</v>
      </c>
      <c r="D136" t="s">
        <v>3107</v>
      </c>
      <c r="E136" t="s">
        <v>3108</v>
      </c>
      <c r="F136" t="s">
        <v>2795</v>
      </c>
      <c r="G136" t="s">
        <v>3109</v>
      </c>
    </row>
    <row r="137" spans="1:7" ht="11.25" customHeight="1">
      <c r="A137" s="301" t="s">
        <v>14</v>
      </c>
      <c r="B137" t="s">
        <v>155</v>
      </c>
      <c r="C137" t="s">
        <v>156</v>
      </c>
      <c r="D137" t="s">
        <v>155</v>
      </c>
      <c r="E137" t="s">
        <v>156</v>
      </c>
      <c r="F137" t="s">
        <v>2796</v>
      </c>
      <c r="G137" t="s">
        <v>154</v>
      </c>
    </row>
    <row r="138" spans="1:7" ht="11.25" customHeight="1">
      <c r="A138" s="301" t="s">
        <v>14</v>
      </c>
      <c r="B138" t="s">
        <v>155</v>
      </c>
      <c r="C138" t="s">
        <v>156</v>
      </c>
      <c r="D138" t="s">
        <v>3110</v>
      </c>
      <c r="E138" t="s">
        <v>3111</v>
      </c>
      <c r="F138" t="s">
        <v>2795</v>
      </c>
      <c r="G138" t="s">
        <v>3112</v>
      </c>
    </row>
    <row r="139" spans="1:7" ht="11.25" customHeight="1">
      <c r="A139" s="301" t="s">
        <v>14</v>
      </c>
      <c r="B139" t="s">
        <v>155</v>
      </c>
      <c r="C139" t="s">
        <v>156</v>
      </c>
      <c r="D139" t="s">
        <v>3113</v>
      </c>
      <c r="E139" t="s">
        <v>3114</v>
      </c>
      <c r="F139" t="s">
        <v>2811</v>
      </c>
      <c r="G139" t="s">
        <v>3115</v>
      </c>
    </row>
    <row r="140" spans="1:7" ht="11.25" customHeight="1">
      <c r="A140" s="301" t="s">
        <v>14</v>
      </c>
      <c r="B140" t="s">
        <v>160</v>
      </c>
      <c r="C140" t="s">
        <v>161</v>
      </c>
      <c r="D140" t="s">
        <v>3116</v>
      </c>
      <c r="E140" t="s">
        <v>3117</v>
      </c>
      <c r="F140" t="s">
        <v>2795</v>
      </c>
      <c r="G140" t="s">
        <v>3118</v>
      </c>
    </row>
    <row r="141" spans="1:7" ht="11.25" customHeight="1">
      <c r="A141" s="301" t="s">
        <v>14</v>
      </c>
      <c r="B141" t="s">
        <v>160</v>
      </c>
      <c r="C141" t="s">
        <v>161</v>
      </c>
      <c r="D141" t="s">
        <v>3119</v>
      </c>
      <c r="E141" t="s">
        <v>3120</v>
      </c>
      <c r="F141" t="s">
        <v>2795</v>
      </c>
      <c r="G141" t="s">
        <v>3121</v>
      </c>
    </row>
    <row r="142" spans="1:7" ht="11.25" customHeight="1">
      <c r="A142" s="301" t="s">
        <v>14</v>
      </c>
      <c r="B142" t="s">
        <v>160</v>
      </c>
      <c r="C142" t="s">
        <v>161</v>
      </c>
      <c r="D142" t="s">
        <v>3122</v>
      </c>
      <c r="E142" t="s">
        <v>3123</v>
      </c>
      <c r="F142" t="s">
        <v>2795</v>
      </c>
      <c r="G142" t="s">
        <v>3124</v>
      </c>
    </row>
    <row r="143" spans="1:7" ht="11.25" customHeight="1">
      <c r="A143" s="301" t="s">
        <v>14</v>
      </c>
      <c r="B143" t="s">
        <v>160</v>
      </c>
      <c r="C143" t="s">
        <v>161</v>
      </c>
      <c r="D143" t="s">
        <v>3125</v>
      </c>
      <c r="E143" t="s">
        <v>3126</v>
      </c>
      <c r="F143" t="s">
        <v>2795</v>
      </c>
      <c r="G143" t="s">
        <v>3127</v>
      </c>
    </row>
    <row r="144" spans="1:7" ht="11.25" customHeight="1">
      <c r="A144" s="301" t="s">
        <v>14</v>
      </c>
      <c r="B144" t="s">
        <v>160</v>
      </c>
      <c r="C144" t="s">
        <v>161</v>
      </c>
      <c r="D144" t="s">
        <v>3128</v>
      </c>
      <c r="E144" t="s">
        <v>3129</v>
      </c>
      <c r="F144" t="s">
        <v>2795</v>
      </c>
      <c r="G144" t="s">
        <v>3130</v>
      </c>
    </row>
    <row r="145" spans="1:7" ht="11.25" customHeight="1">
      <c r="A145" s="301" t="s">
        <v>14</v>
      </c>
      <c r="B145" t="s">
        <v>160</v>
      </c>
      <c r="C145" t="s">
        <v>161</v>
      </c>
      <c r="D145" t="s">
        <v>160</v>
      </c>
      <c r="E145" t="s">
        <v>161</v>
      </c>
      <c r="F145" t="s">
        <v>2796</v>
      </c>
      <c r="G145" t="s">
        <v>159</v>
      </c>
    </row>
    <row r="146" spans="1:7" ht="11.25" customHeight="1">
      <c r="A146" s="301" t="s">
        <v>14</v>
      </c>
      <c r="B146" t="s">
        <v>160</v>
      </c>
      <c r="C146" t="s">
        <v>161</v>
      </c>
      <c r="D146" t="s">
        <v>3131</v>
      </c>
      <c r="E146" t="s">
        <v>3132</v>
      </c>
      <c r="F146" t="s">
        <v>2795</v>
      </c>
      <c r="G146" t="s">
        <v>3133</v>
      </c>
    </row>
    <row r="147" spans="1:7" ht="11.25" customHeight="1">
      <c r="A147" s="301" t="s">
        <v>14</v>
      </c>
      <c r="B147" t="s">
        <v>160</v>
      </c>
      <c r="C147" t="s">
        <v>161</v>
      </c>
      <c r="D147" t="s">
        <v>3134</v>
      </c>
      <c r="E147" t="s">
        <v>3135</v>
      </c>
      <c r="F147" t="s">
        <v>2811</v>
      </c>
      <c r="G147" t="s">
        <v>3136</v>
      </c>
    </row>
    <row r="148" spans="1:7" ht="11.25" customHeight="1">
      <c r="A148" s="301" t="s">
        <v>14</v>
      </c>
      <c r="B148" t="s">
        <v>3137</v>
      </c>
      <c r="C148" t="s">
        <v>3138</v>
      </c>
      <c r="D148" t="s">
        <v>3137</v>
      </c>
      <c r="E148" t="s">
        <v>3138</v>
      </c>
      <c r="F148" t="s">
        <v>3139</v>
      </c>
      <c r="G148" t="s">
        <v>3140</v>
      </c>
    </row>
    <row r="149" spans="1:7" ht="11.25" customHeight="1">
      <c r="A149" s="301" t="s">
        <v>14</v>
      </c>
      <c r="B149" t="s">
        <v>165</v>
      </c>
      <c r="C149" t="s">
        <v>166</v>
      </c>
      <c r="D149" t="s">
        <v>165</v>
      </c>
      <c r="E149" t="s">
        <v>166</v>
      </c>
      <c r="F149" t="s">
        <v>3139</v>
      </c>
      <c r="G149" t="s">
        <v>164</v>
      </c>
    </row>
    <row r="150" spans="1:7" ht="11.25" customHeight="1">
      <c r="A150" s="301" t="s">
        <v>14</v>
      </c>
      <c r="B150" t="s">
        <v>170</v>
      </c>
      <c r="C150" t="s">
        <v>171</v>
      </c>
      <c r="D150" t="s">
        <v>170</v>
      </c>
      <c r="E150" t="s">
        <v>171</v>
      </c>
      <c r="F150" t="s">
        <v>3139</v>
      </c>
      <c r="G150" t="s">
        <v>169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1"/>
  <sheetViews>
    <sheetView showGridLines="0" workbookViewId="0"/>
  </sheetViews>
  <sheetFormatPr defaultColWidth="9.140625" defaultRowHeight="11.25" customHeight="1"/>
  <cols>
    <col min="1" max="4" width="9.140625" style="6575"/>
  </cols>
  <sheetData>
    <row r="1" spans="1:4" ht="11.25" customHeight="1">
      <c r="A1" s="752" t="s">
        <v>3141</v>
      </c>
      <c r="B1" s="752" t="s">
        <v>3142</v>
      </c>
      <c r="C1" s="752" t="s">
        <v>3143</v>
      </c>
      <c r="D1" s="752" t="s">
        <v>3144</v>
      </c>
    </row>
    <row r="2" spans="1:4" ht="11.25" customHeight="1">
      <c r="A2" s="6576" t="s">
        <v>178</v>
      </c>
      <c r="B2" s="6576" t="s">
        <v>3145</v>
      </c>
      <c r="C2" s="6576" t="s">
        <v>3146</v>
      </c>
      <c r="D2" s="6576" t="s">
        <v>3147</v>
      </c>
    </row>
    <row r="3" spans="1:4" ht="11.25" customHeight="1">
      <c r="A3" s="6576" t="s">
        <v>98</v>
      </c>
      <c r="B3" s="6576" t="s">
        <v>3148</v>
      </c>
      <c r="C3" s="6576" t="s">
        <v>3149</v>
      </c>
      <c r="D3" s="6576" t="s">
        <v>3150</v>
      </c>
    </row>
    <row r="4" spans="1:4" ht="11.25" customHeight="1">
      <c r="A4" s="6576" t="s">
        <v>89</v>
      </c>
      <c r="B4" s="6576" t="s">
        <v>3151</v>
      </c>
      <c r="C4" s="6576" t="s">
        <v>3149</v>
      </c>
      <c r="D4" s="6576" t="s">
        <v>3150</v>
      </c>
    </row>
    <row r="5" spans="1:4" ht="11.25" customHeight="1">
      <c r="A5" s="6576" t="s">
        <v>90</v>
      </c>
      <c r="B5" s="6576" t="s">
        <v>3152</v>
      </c>
      <c r="C5" s="6576" t="s">
        <v>3149</v>
      </c>
      <c r="D5" s="6576" t="s">
        <v>3150</v>
      </c>
    </row>
    <row r="6" spans="1:4" ht="11.25" customHeight="1">
      <c r="A6" s="6576" t="s">
        <v>115</v>
      </c>
      <c r="B6" s="6576" t="s">
        <v>3153</v>
      </c>
      <c r="C6" s="6576" t="s">
        <v>3149</v>
      </c>
      <c r="D6" s="6576" t="s">
        <v>3150</v>
      </c>
    </row>
    <row r="7" spans="1:4" ht="11.25" customHeight="1">
      <c r="A7" s="6576" t="s">
        <v>91</v>
      </c>
      <c r="B7" s="6576" t="s">
        <v>3154</v>
      </c>
      <c r="C7" s="6576" t="s">
        <v>3155</v>
      </c>
      <c r="D7" s="6576" t="s">
        <v>3156</v>
      </c>
    </row>
    <row r="8" spans="1:4" ht="11.25" customHeight="1">
      <c r="A8" s="6576" t="s">
        <v>92</v>
      </c>
      <c r="B8" s="6576" t="s">
        <v>3157</v>
      </c>
      <c r="C8" s="6576" t="s">
        <v>3158</v>
      </c>
      <c r="D8" s="6576" t="s">
        <v>3159</v>
      </c>
    </row>
    <row r="9" spans="1:4" ht="11.25" customHeight="1">
      <c r="A9" s="6576" t="s">
        <v>128</v>
      </c>
      <c r="B9" s="6576" t="s">
        <v>3160</v>
      </c>
      <c r="C9" s="6576" t="s">
        <v>3158</v>
      </c>
      <c r="D9" s="6576" t="s">
        <v>3161</v>
      </c>
    </row>
    <row r="10" spans="1:4" ht="11.25" customHeight="1">
      <c r="A10" s="6576" t="s">
        <v>133</v>
      </c>
      <c r="B10" s="6576" t="s">
        <v>3162</v>
      </c>
      <c r="C10" s="6576" t="s">
        <v>3163</v>
      </c>
      <c r="D10" s="6576" t="s">
        <v>3164</v>
      </c>
    </row>
    <row r="11" spans="1:4" ht="11.25" customHeight="1">
      <c r="A11" s="6576" t="s">
        <v>138</v>
      </c>
      <c r="B11" s="6576" t="s">
        <v>3165</v>
      </c>
      <c r="C11" s="6576" t="s">
        <v>3163</v>
      </c>
      <c r="D11" s="6576" t="s">
        <v>3166</v>
      </c>
    </row>
    <row r="12" spans="1:4" ht="11.25" customHeight="1">
      <c r="A12" s="6576" t="s">
        <v>104</v>
      </c>
      <c r="B12" s="6576" t="s">
        <v>3167</v>
      </c>
      <c r="C12" s="6576" t="s">
        <v>3163</v>
      </c>
      <c r="D12" s="6576" t="s">
        <v>3164</v>
      </c>
    </row>
    <row r="13" spans="1:4" ht="11.25" customHeight="1">
      <c r="A13" s="6576" t="s">
        <v>147</v>
      </c>
      <c r="B13" s="6576" t="s">
        <v>3168</v>
      </c>
      <c r="C13" s="6576" t="s">
        <v>3163</v>
      </c>
      <c r="D13" s="6576" t="s">
        <v>3164</v>
      </c>
    </row>
    <row r="14" spans="1:4" ht="11.25" customHeight="1">
      <c r="A14" s="6576" t="s">
        <v>152</v>
      </c>
      <c r="B14" s="6576" t="s">
        <v>3169</v>
      </c>
      <c r="C14" s="6576" t="s">
        <v>3163</v>
      </c>
      <c r="D14" s="6576" t="s">
        <v>3164</v>
      </c>
    </row>
    <row r="15" spans="1:4" ht="11.25" customHeight="1">
      <c r="A15" s="6576" t="s">
        <v>157</v>
      </c>
      <c r="B15" s="6576" t="s">
        <v>3170</v>
      </c>
      <c r="C15" s="6576" t="s">
        <v>3163</v>
      </c>
      <c r="D15" s="6576" t="s">
        <v>3164</v>
      </c>
    </row>
    <row r="16" spans="1:4" ht="11.25" customHeight="1">
      <c r="A16" s="6576" t="s">
        <v>162</v>
      </c>
      <c r="B16" s="6576" t="s">
        <v>3171</v>
      </c>
      <c r="C16" s="6576" t="s">
        <v>3172</v>
      </c>
      <c r="D16" s="6576" t="s">
        <v>3147</v>
      </c>
    </row>
    <row r="17" spans="1:4" ht="11.25" customHeight="1">
      <c r="A17" s="6576" t="s">
        <v>167</v>
      </c>
      <c r="B17" s="6576" t="s">
        <v>3173</v>
      </c>
      <c r="C17" s="6576" t="s">
        <v>3172</v>
      </c>
      <c r="D17" s="6576" t="s">
        <v>3147</v>
      </c>
    </row>
    <row r="18" spans="1:4" ht="11.25" customHeight="1">
      <c r="A18" s="6576" t="s">
        <v>1601</v>
      </c>
      <c r="B18" s="6576" t="s">
        <v>3174</v>
      </c>
      <c r="C18" s="6576" t="s">
        <v>3172</v>
      </c>
      <c r="D18" s="6576" t="s">
        <v>3147</v>
      </c>
    </row>
    <row r="19" spans="1:4" ht="11.25" customHeight="1">
      <c r="A19" s="6576" t="s">
        <v>1615</v>
      </c>
      <c r="B19" s="6576" t="s">
        <v>3175</v>
      </c>
      <c r="C19" s="6576" t="s">
        <v>3172</v>
      </c>
      <c r="D19" s="6576" t="s">
        <v>3147</v>
      </c>
    </row>
    <row r="20" spans="1:4" ht="11.25" customHeight="1">
      <c r="A20" s="6576" t="s">
        <v>1627</v>
      </c>
      <c r="B20" s="6576" t="s">
        <v>3176</v>
      </c>
      <c r="C20" s="6576" t="s">
        <v>3172</v>
      </c>
      <c r="D20" s="6576" t="s">
        <v>3147</v>
      </c>
    </row>
    <row r="21" spans="1:4" ht="11.25" customHeight="1">
      <c r="A21" s="6576" t="s">
        <v>1636</v>
      </c>
      <c r="B21" s="6576" t="s">
        <v>3177</v>
      </c>
      <c r="C21" s="6576" t="s">
        <v>3172</v>
      </c>
      <c r="D21" s="6576" t="s">
        <v>3147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7"/>
  <sheetViews>
    <sheetView showGridLines="0" workbookViewId="0"/>
  </sheetViews>
  <sheetFormatPr defaultColWidth="9.140625" defaultRowHeight="11.25" customHeight="1"/>
  <cols>
    <col min="1" max="2" width="9.140625" style="6577"/>
  </cols>
  <sheetData>
    <row r="1" spans="1:2" ht="11.25" customHeight="1">
      <c r="A1" s="104" t="s">
        <v>196</v>
      </c>
      <c r="B1" s="104" t="s">
        <v>3178</v>
      </c>
    </row>
    <row r="2" spans="1:2" ht="11.25" customHeight="1">
      <c r="A2" s="6578" t="s">
        <v>97</v>
      </c>
      <c r="B2" s="6578" t="s">
        <v>3179</v>
      </c>
    </row>
    <row r="3" spans="1:2" ht="11.25" customHeight="1">
      <c r="A3" s="6578" t="s">
        <v>103</v>
      </c>
      <c r="B3" s="6578" t="s">
        <v>3180</v>
      </c>
    </row>
    <row r="4" spans="1:2" ht="11.25" customHeight="1">
      <c r="A4" s="6578" t="s">
        <v>107</v>
      </c>
      <c r="B4" s="6578" t="s">
        <v>3181</v>
      </c>
    </row>
    <row r="5" spans="1:2" ht="11.25" customHeight="1">
      <c r="A5" s="6578" t="s">
        <v>111</v>
      </c>
      <c r="B5" s="6578" t="s">
        <v>3182</v>
      </c>
    </row>
    <row r="6" spans="1:2" ht="11.25" customHeight="1">
      <c r="A6" s="6578" t="s">
        <v>116</v>
      </c>
      <c r="B6" s="6578" t="s">
        <v>3183</v>
      </c>
    </row>
    <row r="7" spans="1:2" ht="11.25" customHeight="1">
      <c r="A7" s="6578" t="s">
        <v>120</v>
      </c>
      <c r="B7" s="6578" t="s">
        <v>3184</v>
      </c>
    </row>
    <row r="8" spans="1:2" ht="11.25" customHeight="1">
      <c r="A8" s="6578" t="s">
        <v>124</v>
      </c>
      <c r="B8" s="6578" t="s">
        <v>3185</v>
      </c>
    </row>
    <row r="9" spans="1:2" ht="11.25" customHeight="1">
      <c r="A9" s="6578" t="s">
        <v>129</v>
      </c>
      <c r="B9" s="6578" t="s">
        <v>3186</v>
      </c>
    </row>
    <row r="10" spans="1:2" ht="11.25" customHeight="1">
      <c r="A10" s="6578" t="s">
        <v>134</v>
      </c>
      <c r="B10" s="6578" t="s">
        <v>3187</v>
      </c>
    </row>
    <row r="11" spans="1:2" ht="11.25" customHeight="1">
      <c r="A11" s="6578" t="s">
        <v>139</v>
      </c>
      <c r="B11" s="6578" t="s">
        <v>3188</v>
      </c>
    </row>
    <row r="12" spans="1:2" ht="11.25" customHeight="1">
      <c r="A12" s="6578" t="s">
        <v>143</v>
      </c>
      <c r="B12" s="6578" t="s">
        <v>3189</v>
      </c>
    </row>
    <row r="13" spans="1:2" ht="11.25" customHeight="1">
      <c r="A13" s="6578" t="s">
        <v>148</v>
      </c>
      <c r="B13" s="6578" t="s">
        <v>3190</v>
      </c>
    </row>
    <row r="14" spans="1:2" ht="11.25" customHeight="1">
      <c r="A14" s="6578" t="s">
        <v>153</v>
      </c>
      <c r="B14" s="6578" t="s">
        <v>3191</v>
      </c>
    </row>
    <row r="15" spans="1:2" ht="11.25" customHeight="1">
      <c r="A15" s="6578" t="s">
        <v>158</v>
      </c>
      <c r="B15" s="6578" t="s">
        <v>3192</v>
      </c>
    </row>
    <row r="16" spans="1:2" ht="11.25" customHeight="1">
      <c r="A16" s="6578" t="s">
        <v>163</v>
      </c>
      <c r="B16" s="6578" t="s">
        <v>3193</v>
      </c>
    </row>
    <row r="17" spans="1:2" ht="11.25" customHeight="1">
      <c r="A17" s="6578" t="s">
        <v>168</v>
      </c>
      <c r="B17" s="6578" t="s">
        <v>3194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6575"/>
    <col min="2" max="2" width="65.28515625" style="6575" customWidth="1"/>
  </cols>
  <sheetData>
    <row r="1" spans="1:2" ht="11.25" customHeight="1">
      <c r="A1" s="752" t="s">
        <v>3195</v>
      </c>
      <c r="B1" s="752" t="s">
        <v>3196</v>
      </c>
    </row>
    <row r="2" spans="1:2" ht="11.25" customHeight="1">
      <c r="A2" s="752">
        <v>4213775</v>
      </c>
      <c r="B2" s="752" t="s">
        <v>1346</v>
      </c>
    </row>
    <row r="3" spans="1:2" ht="11.25" customHeight="1">
      <c r="A3" s="752">
        <v>4213784</v>
      </c>
      <c r="B3" s="752" t="s">
        <v>1379</v>
      </c>
    </row>
    <row r="4" spans="1:2" ht="11.25" customHeight="1">
      <c r="A4" s="752">
        <v>4213781</v>
      </c>
      <c r="B4" s="752" t="s">
        <v>1372</v>
      </c>
    </row>
    <row r="5" spans="1:2" ht="11.25" customHeight="1">
      <c r="A5" s="752">
        <v>4213776</v>
      </c>
      <c r="B5" s="752" t="s">
        <v>274</v>
      </c>
    </row>
    <row r="6" spans="1:2" ht="11.25" customHeight="1">
      <c r="A6" s="752">
        <v>4213777</v>
      </c>
      <c r="B6" s="752" t="s">
        <v>291</v>
      </c>
    </row>
    <row r="7" spans="1:2" ht="11.25" customHeight="1">
      <c r="A7" s="752">
        <v>4213778</v>
      </c>
      <c r="B7" s="752" t="s">
        <v>308</v>
      </c>
    </row>
    <row r="8" spans="1:2" ht="11.25" customHeight="1">
      <c r="A8" s="752">
        <v>4213780</v>
      </c>
      <c r="B8" s="752" t="s">
        <v>314</v>
      </c>
    </row>
    <row r="9" spans="1:2" ht="11.25" customHeight="1">
      <c r="A9" s="752">
        <v>4213779</v>
      </c>
      <c r="B9" s="752" t="s">
        <v>1511</v>
      </c>
    </row>
    <row r="10" spans="1:2" ht="11.25" customHeight="1">
      <c r="A10" s="752">
        <v>4213783</v>
      </c>
      <c r="B10" s="752" t="s">
        <v>1526</v>
      </c>
    </row>
    <row r="11" spans="1:2" ht="11.25" customHeight="1">
      <c r="A11" s="752">
        <v>4213782</v>
      </c>
      <c r="B11" s="752" t="s">
        <v>320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6575"/>
    <col min="2" max="2" width="65.28515625" style="6575" customWidth="1"/>
  </cols>
  <sheetData>
    <row r="1" spans="1:2" ht="11.25" customHeight="1">
      <c r="A1" s="752" t="s">
        <v>3195</v>
      </c>
      <c r="B1" s="752" t="s">
        <v>3197</v>
      </c>
    </row>
    <row r="2" spans="1:2" ht="11.25" customHeight="1">
      <c r="A2" s="752" t="s">
        <v>3198</v>
      </c>
      <c r="B2" s="752" t="s">
        <v>1621</v>
      </c>
    </row>
    <row r="3" spans="1:2" ht="11.25" customHeight="1">
      <c r="A3" s="752" t="s">
        <v>3199</v>
      </c>
      <c r="B3" s="752" t="s">
        <v>1631</v>
      </c>
    </row>
    <row r="4" spans="1:2" ht="11.25" customHeight="1">
      <c r="A4" s="752" t="s">
        <v>3200</v>
      </c>
      <c r="B4" s="752" t="s">
        <v>1640</v>
      </c>
    </row>
    <row r="5" spans="1:2" ht="11.25" customHeight="1">
      <c r="A5" s="752" t="s">
        <v>3201</v>
      </c>
      <c r="B5" s="752" t="s">
        <v>1649</v>
      </c>
    </row>
    <row r="6" spans="1:2" ht="11.25" customHeight="1">
      <c r="A6" s="752" t="s">
        <v>3202</v>
      </c>
      <c r="B6" s="752" t="s">
        <v>1654</v>
      </c>
    </row>
    <row r="7" spans="1:2" ht="11.25" customHeight="1">
      <c r="A7" s="752" t="s">
        <v>3203</v>
      </c>
      <c r="B7" s="752" t="s">
        <v>1662</v>
      </c>
    </row>
    <row r="8" spans="1:2" ht="11.25" customHeight="1">
      <c r="A8" s="752" t="s">
        <v>3204</v>
      </c>
      <c r="B8" s="752" t="s">
        <v>1669</v>
      </c>
    </row>
    <row r="9" spans="1:2" ht="11.25" customHeight="1">
      <c r="A9" s="752" t="s">
        <v>3205</v>
      </c>
      <c r="B9" s="752" t="s">
        <v>1675</v>
      </c>
    </row>
    <row r="10" spans="1:2" ht="11.25" customHeight="1">
      <c r="A10" s="752" t="s">
        <v>328</v>
      </c>
      <c r="B10" s="752" t="s">
        <v>1679</v>
      </c>
    </row>
    <row r="11" spans="1:2" ht="11.25" customHeight="1">
      <c r="A11" s="752" t="s">
        <v>3206</v>
      </c>
      <c r="B11" s="752" t="s">
        <v>1686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057" hidden="1" customWidth="1"/>
    <col min="2" max="2" width="9.140625" style="2056" hidden="1" customWidth="1"/>
    <col min="3" max="3" width="3.7109375" style="2058" customWidth="1"/>
    <col min="4" max="4" width="5.5703125" style="2056" customWidth="1"/>
    <col min="5" max="5" width="48.42578125" style="2056" customWidth="1"/>
    <col min="6" max="6" width="38.140625" style="2056" customWidth="1"/>
    <col min="7" max="7" width="1.7109375" style="1820" hidden="1" customWidth="1"/>
    <col min="8" max="11" width="19.85546875" style="2056" customWidth="1"/>
    <col min="12" max="12" width="9.7109375" style="2056" customWidth="1"/>
    <col min="13" max="18" width="19.85546875" style="2056" customWidth="1"/>
    <col min="19" max="19" width="1.7109375" style="1820" hidden="1" customWidth="1"/>
    <col min="20" max="22" width="19.85546875" style="2059" hidden="1" customWidth="1"/>
    <col min="23" max="23" width="1.7109375" style="1820" hidden="1" customWidth="1"/>
    <col min="24" max="26" width="19.85546875" style="2059" hidden="1" customWidth="1"/>
    <col min="27" max="27" width="1.7109375" style="1820" hidden="1" customWidth="1"/>
    <col min="28" max="29" width="19.85546875" style="2059" hidden="1" customWidth="1"/>
    <col min="30" max="30" width="1.7109375" style="1820" hidden="1" customWidth="1"/>
    <col min="31" max="31" width="103.7109375" style="2056" customWidth="1"/>
    <col min="32" max="34" width="103.7109375" style="2059" hidden="1" customWidth="1"/>
    <col min="35" max="35" width="3.7109375" style="2060" customWidth="1"/>
    <col min="36" max="38" width="10.5703125" style="2055"/>
    <col min="39" max="39" width="13.7109375" style="2055" hidden="1" customWidth="1"/>
    <col min="40" max="40" width="15.42578125" style="2055" customWidth="1"/>
    <col min="41" max="41" width="16.28515625" style="2055" customWidth="1"/>
    <col min="42" max="45" width="10.5703125" style="2055"/>
  </cols>
  <sheetData>
    <row r="1" spans="1:45" ht="14.25" hidden="1" customHeight="1">
      <c r="E1" s="346"/>
      <c r="F1" s="346"/>
      <c r="G1" s="346"/>
      <c r="H1" s="6607" t="s">
        <v>472</v>
      </c>
      <c r="I1" s="6607"/>
      <c r="J1" s="6607"/>
      <c r="K1" s="6607"/>
      <c r="L1" s="6607"/>
      <c r="M1" s="6607"/>
      <c r="N1" s="6607"/>
      <c r="O1" s="6607"/>
      <c r="P1" s="6607"/>
      <c r="Q1" s="6607"/>
      <c r="R1" s="6607"/>
      <c r="T1" s="6607" t="s">
        <v>473</v>
      </c>
      <c r="U1" s="6607"/>
      <c r="V1" s="6607"/>
      <c r="X1" s="6607" t="s">
        <v>474</v>
      </c>
      <c r="Y1" s="6607"/>
      <c r="Z1" s="6607"/>
      <c r="AB1" s="6607" t="s">
        <v>475</v>
      </c>
      <c r="AC1" s="6607"/>
    </row>
    <row r="2" spans="1:45" ht="14.25" hidden="1" customHeight="1"/>
    <row r="3" spans="1:45" s="2052" customFormat="1" ht="6" customHeight="1">
      <c r="C3" s="620"/>
      <c r="D3" s="621"/>
      <c r="E3" s="621"/>
      <c r="F3" s="621"/>
      <c r="G3" s="621"/>
      <c r="H3" s="621" t="s">
        <v>476</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666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6663"/>
      <c r="F4" s="6663"/>
      <c r="G4" s="6663"/>
      <c r="H4" s="6663"/>
      <c r="I4" s="6663"/>
      <c r="J4" s="6663"/>
      <c r="K4" s="6663"/>
      <c r="L4" s="6663"/>
      <c r="M4" s="6663"/>
      <c r="N4" s="6663"/>
      <c r="O4" s="6663"/>
      <c r="P4" s="6663"/>
      <c r="Q4" s="6663"/>
      <c r="R4" s="6664"/>
      <c r="S4" s="766"/>
      <c r="T4" s="619"/>
      <c r="U4" s="619"/>
      <c r="V4" s="619"/>
      <c r="W4" s="619"/>
      <c r="X4" s="619"/>
      <c r="Y4" s="619"/>
      <c r="Z4" s="619"/>
      <c r="AA4" s="619"/>
      <c r="AB4" s="619"/>
      <c r="AC4" s="619"/>
      <c r="AD4" s="619"/>
      <c r="AE4" s="417"/>
      <c r="AF4" s="417"/>
      <c r="AG4" s="417"/>
      <c r="AH4" s="417"/>
      <c r="AI4" s="414"/>
    </row>
    <row r="5" spans="1:45" s="1820" customFormat="1" ht="17.25" customHeight="1">
      <c r="A5" s="676"/>
      <c r="C5" s="739"/>
      <c r="D5" s="6728" t="str">
        <f>IF(org=0,"Не определено",org)</f>
        <v>ООО "Марикоммунэнерго"</v>
      </c>
      <c r="E5" s="6729"/>
      <c r="F5" s="6729"/>
      <c r="G5" s="6729"/>
      <c r="H5" s="6729"/>
      <c r="I5" s="6729"/>
      <c r="J5" s="6729"/>
      <c r="K5" s="6729"/>
      <c r="L5" s="6729"/>
      <c r="M5" s="6729"/>
      <c r="N5" s="6729"/>
      <c r="O5" s="6729"/>
      <c r="P5" s="6729"/>
      <c r="Q5" s="6729"/>
      <c r="R5" s="6730"/>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2054"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6731" t="s">
        <v>418</v>
      </c>
      <c r="E7" s="6732"/>
      <c r="F7" s="6732"/>
      <c r="G7" s="6732"/>
      <c r="H7" s="6732"/>
      <c r="I7" s="6732"/>
      <c r="J7" s="6732"/>
      <c r="K7" s="6732"/>
      <c r="L7" s="6732"/>
      <c r="M7" s="6732"/>
      <c r="N7" s="6732"/>
      <c r="O7" s="6732"/>
      <c r="P7" s="6732"/>
      <c r="Q7" s="6732"/>
      <c r="R7" s="6732"/>
      <c r="S7" s="6732"/>
      <c r="T7" s="6732"/>
      <c r="U7" s="6732"/>
      <c r="V7" s="6732"/>
      <c r="W7" s="6732"/>
      <c r="X7" s="6732"/>
      <c r="Y7" s="6732"/>
      <c r="Z7" s="6732"/>
      <c r="AA7" s="6732"/>
      <c r="AB7" s="6732"/>
      <c r="AC7" s="6732"/>
      <c r="AD7" s="6733"/>
      <c r="AE7" s="6657" t="s">
        <v>419</v>
      </c>
      <c r="AF7" s="6657" t="s">
        <v>419</v>
      </c>
      <c r="AG7" s="6657" t="s">
        <v>419</v>
      </c>
      <c r="AH7" s="6657" t="s">
        <v>419</v>
      </c>
    </row>
    <row r="8" spans="1:45" ht="25.5" customHeight="1">
      <c r="C8" s="381"/>
      <c r="D8" s="6629" t="s">
        <v>87</v>
      </c>
      <c r="E8" s="6657" t="str">
        <f>"Наименование "&amp;IF(TEMPLATE_SPHERE&lt;&gt;"HEAT","централизованной ","")&amp;"системы "&amp;TEMPLATE_SPHERE_RUS</f>
        <v>Наименование системы теплоснабжения</v>
      </c>
      <c r="F8" s="6657" t="str">
        <f>IF(TEMPLATE_SPHERE&lt;&gt;"HEAT","Регулируемый вид деятельности","Вид регулируемой деятельности")</f>
        <v>Вид регулируемой деятельности</v>
      </c>
      <c r="G8" s="745"/>
      <c r="H8" s="6736" t="s">
        <v>477</v>
      </c>
      <c r="I8" s="6738" t="s">
        <v>478</v>
      </c>
      <c r="J8" s="6657" t="s">
        <v>479</v>
      </c>
      <c r="K8" s="6657"/>
      <c r="L8" s="6657"/>
      <c r="M8" s="6731"/>
      <c r="N8" s="6657" t="s">
        <v>480</v>
      </c>
      <c r="O8" s="6657"/>
      <c r="P8" s="6657" t="s">
        <v>481</v>
      </c>
      <c r="Q8" s="6657"/>
      <c r="R8" s="6740" t="s">
        <v>482</v>
      </c>
      <c r="S8" s="741"/>
      <c r="T8" s="6736" t="s">
        <v>483</v>
      </c>
      <c r="U8" s="6736" t="s">
        <v>484</v>
      </c>
      <c r="V8" s="6736" t="s">
        <v>485</v>
      </c>
      <c r="W8" s="743"/>
      <c r="X8" s="6736" t="s">
        <v>486</v>
      </c>
      <c r="Y8" s="6736" t="s">
        <v>487</v>
      </c>
      <c r="Z8" s="6736" t="s">
        <v>488</v>
      </c>
      <c r="AA8" s="743"/>
      <c r="AB8" s="6736" t="s">
        <v>489</v>
      </c>
      <c r="AC8" s="6736" t="s">
        <v>482</v>
      </c>
      <c r="AD8" s="743"/>
      <c r="AE8" s="6657"/>
      <c r="AF8" s="6657"/>
      <c r="AG8" s="6657"/>
      <c r="AH8" s="6657"/>
    </row>
    <row r="9" spans="1:45" ht="43.5" customHeight="1">
      <c r="C9" s="381"/>
      <c r="D9" s="6629"/>
      <c r="E9" s="6657"/>
      <c r="F9" s="6657"/>
      <c r="G9" s="746"/>
      <c r="H9" s="6737"/>
      <c r="I9" s="6739"/>
      <c r="J9" s="358" t="s">
        <v>490</v>
      </c>
      <c r="K9" s="358" t="s">
        <v>491</v>
      </c>
      <c r="L9" s="358" t="s">
        <v>492</v>
      </c>
      <c r="M9" s="363" t="s">
        <v>493</v>
      </c>
      <c r="N9" s="358" t="s">
        <v>494</v>
      </c>
      <c r="O9" s="358" t="s">
        <v>493</v>
      </c>
      <c r="P9" s="358" t="s">
        <v>495</v>
      </c>
      <c r="Q9" s="358" t="s">
        <v>493</v>
      </c>
      <c r="R9" s="6741"/>
      <c r="S9" s="742"/>
      <c r="T9" s="6737"/>
      <c r="U9" s="6737"/>
      <c r="V9" s="6737"/>
      <c r="W9" s="744"/>
      <c r="X9" s="6737"/>
      <c r="Y9" s="6737"/>
      <c r="Z9" s="6737"/>
      <c r="AA9" s="744"/>
      <c r="AB9" s="6737"/>
      <c r="AC9" s="6737"/>
      <c r="AD9" s="744"/>
      <c r="AE9" s="6657"/>
      <c r="AF9" s="6657"/>
      <c r="AG9" s="6657"/>
      <c r="AH9" s="6657"/>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16" customFormat="1" ht="11.25" hidden="1" customHeight="1">
      <c r="C11" s="424"/>
      <c r="D11" s="425" t="s">
        <v>496</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178</v>
      </c>
      <c r="E12" s="1686" t="s">
        <v>24</v>
      </c>
      <c r="F12" s="768"/>
      <c r="G12" s="769"/>
      <c r="H12" s="1687"/>
      <c r="I12" s="1687"/>
      <c r="J12" s="365"/>
      <c r="K12" s="1772"/>
      <c r="L12" s="364"/>
      <c r="M12" s="1772"/>
      <c r="N12" s="365"/>
      <c r="O12" s="1772"/>
      <c r="P12" s="365"/>
      <c r="Q12" s="1772"/>
      <c r="R12" s="365"/>
      <c r="S12" s="767"/>
      <c r="T12" s="1687"/>
      <c r="U12" s="365"/>
      <c r="V12" s="365"/>
      <c r="W12" s="744"/>
      <c r="X12" s="1687"/>
      <c r="Y12" s="365"/>
      <c r="Z12" s="365"/>
      <c r="AA12" s="744"/>
      <c r="AB12" s="1687"/>
      <c r="AC12" s="365"/>
      <c r="AD12" s="744"/>
      <c r="AE12" s="6734" t="s">
        <v>497</v>
      </c>
      <c r="AF12" s="6734" t="s">
        <v>498</v>
      </c>
      <c r="AG12" s="6734" t="s">
        <v>499</v>
      </c>
      <c r="AH12" s="6734" t="s">
        <v>500</v>
      </c>
      <c r="AI12" s="379"/>
      <c r="AM12" s="437"/>
      <c r="AP12" s="426" t="s">
        <v>501</v>
      </c>
      <c r="AQ12" s="426" t="s">
        <v>501</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6735"/>
      <c r="AF13" s="6735"/>
      <c r="AG13" s="6735"/>
      <c r="AH13" s="6735"/>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50"/>
  <sheetViews>
    <sheetView showGridLines="0" workbookViewId="0"/>
  </sheetViews>
  <sheetFormatPr defaultRowHeight="11.25" customHeight="1"/>
  <sheetData>
    <row r="1" spans="1:7" ht="11.25" customHeight="1">
      <c r="A1" s="301" t="s">
        <v>2786</v>
      </c>
      <c r="B1" s="301" t="s">
        <v>2787</v>
      </c>
      <c r="C1" s="301" t="s">
        <v>2788</v>
      </c>
      <c r="D1" s="301" t="s">
        <v>2789</v>
      </c>
      <c r="E1" t="s">
        <v>2790</v>
      </c>
      <c r="F1" t="s">
        <v>2791</v>
      </c>
      <c r="G1" t="s">
        <v>2792</v>
      </c>
    </row>
    <row r="2" spans="1:7" ht="11.25" customHeight="1">
      <c r="A2" t="s">
        <v>14</v>
      </c>
      <c r="B2" t="s">
        <v>99</v>
      </c>
      <c r="C2" t="s">
        <v>100</v>
      </c>
      <c r="D2" t="s">
        <v>2793</v>
      </c>
      <c r="E2" t="s">
        <v>2794</v>
      </c>
      <c r="F2" t="s">
        <v>2795</v>
      </c>
      <c r="G2" t="s">
        <v>178</v>
      </c>
    </row>
    <row r="3" spans="1:7" ht="11.25" customHeight="1">
      <c r="A3" t="s">
        <v>14</v>
      </c>
      <c r="B3" t="s">
        <v>99</v>
      </c>
      <c r="C3" t="s">
        <v>100</v>
      </c>
      <c r="D3" t="s">
        <v>99</v>
      </c>
      <c r="E3" t="s">
        <v>100</v>
      </c>
      <c r="F3" t="s">
        <v>2796</v>
      </c>
      <c r="G3" t="s">
        <v>98</v>
      </c>
    </row>
    <row r="4" spans="1:7" ht="11.25" customHeight="1">
      <c r="A4" t="s">
        <v>14</v>
      </c>
      <c r="B4" t="s">
        <v>99</v>
      </c>
      <c r="C4" t="s">
        <v>100</v>
      </c>
      <c r="D4" t="s">
        <v>2797</v>
      </c>
      <c r="E4" t="s">
        <v>2798</v>
      </c>
      <c r="F4" t="s">
        <v>2795</v>
      </c>
      <c r="G4" t="s">
        <v>89</v>
      </c>
    </row>
    <row r="5" spans="1:7" ht="11.25" customHeight="1">
      <c r="A5" t="s">
        <v>14</v>
      </c>
      <c r="B5" t="s">
        <v>99</v>
      </c>
      <c r="C5" t="s">
        <v>100</v>
      </c>
      <c r="D5" t="s">
        <v>2799</v>
      </c>
      <c r="E5" t="s">
        <v>2800</v>
      </c>
      <c r="F5" t="s">
        <v>2795</v>
      </c>
      <c r="G5" t="s">
        <v>90</v>
      </c>
    </row>
    <row r="6" spans="1:7" ht="11.25" customHeight="1">
      <c r="A6" t="s">
        <v>14</v>
      </c>
      <c r="B6" t="s">
        <v>99</v>
      </c>
      <c r="C6" t="s">
        <v>100</v>
      </c>
      <c r="D6" t="s">
        <v>2801</v>
      </c>
      <c r="E6" t="s">
        <v>2802</v>
      </c>
      <c r="F6" t="s">
        <v>2795</v>
      </c>
      <c r="G6" t="s">
        <v>115</v>
      </c>
    </row>
    <row r="7" spans="1:7" ht="11.25" customHeight="1">
      <c r="A7" t="s">
        <v>14</v>
      </c>
      <c r="B7" t="s">
        <v>99</v>
      </c>
      <c r="C7" t="s">
        <v>100</v>
      </c>
      <c r="D7" t="s">
        <v>2803</v>
      </c>
      <c r="E7" t="s">
        <v>2804</v>
      </c>
      <c r="F7" t="s">
        <v>2795</v>
      </c>
      <c r="G7" t="s">
        <v>91</v>
      </c>
    </row>
    <row r="8" spans="1:7" ht="11.25" customHeight="1">
      <c r="A8" t="s">
        <v>14</v>
      </c>
      <c r="B8" t="s">
        <v>99</v>
      </c>
      <c r="C8" t="s">
        <v>100</v>
      </c>
      <c r="D8" t="s">
        <v>2805</v>
      </c>
      <c r="E8" t="s">
        <v>2806</v>
      </c>
      <c r="F8" t="s">
        <v>2795</v>
      </c>
      <c r="G8" t="s">
        <v>92</v>
      </c>
    </row>
    <row r="9" spans="1:7" ht="11.25" customHeight="1">
      <c r="A9" t="s">
        <v>14</v>
      </c>
      <c r="B9" t="s">
        <v>99</v>
      </c>
      <c r="C9" t="s">
        <v>100</v>
      </c>
      <c r="D9" t="s">
        <v>2807</v>
      </c>
      <c r="E9" t="s">
        <v>2808</v>
      </c>
      <c r="F9" t="s">
        <v>2795</v>
      </c>
      <c r="G9" t="s">
        <v>128</v>
      </c>
    </row>
    <row r="10" spans="1:7" ht="11.25" customHeight="1">
      <c r="A10" t="s">
        <v>14</v>
      </c>
      <c r="B10" t="s">
        <v>99</v>
      </c>
      <c r="C10" t="s">
        <v>100</v>
      </c>
      <c r="D10" t="s">
        <v>2809</v>
      </c>
      <c r="E10" t="s">
        <v>2810</v>
      </c>
      <c r="F10" t="s">
        <v>2811</v>
      </c>
      <c r="G10" t="s">
        <v>133</v>
      </c>
    </row>
    <row r="11" spans="1:7" ht="11.25" customHeight="1">
      <c r="A11" t="s">
        <v>14</v>
      </c>
      <c r="B11" t="s">
        <v>105</v>
      </c>
      <c r="C11" t="s">
        <v>106</v>
      </c>
      <c r="D11" t="s">
        <v>2812</v>
      </c>
      <c r="E11" t="s">
        <v>2813</v>
      </c>
      <c r="F11" t="s">
        <v>2795</v>
      </c>
      <c r="G11" t="s">
        <v>138</v>
      </c>
    </row>
    <row r="12" spans="1:7" ht="11.25" customHeight="1">
      <c r="A12" t="s">
        <v>14</v>
      </c>
      <c r="B12" t="s">
        <v>105</v>
      </c>
      <c r="C12" t="s">
        <v>106</v>
      </c>
      <c r="D12" t="s">
        <v>105</v>
      </c>
      <c r="E12" t="s">
        <v>106</v>
      </c>
      <c r="F12" t="s">
        <v>2796</v>
      </c>
      <c r="G12" t="s">
        <v>104</v>
      </c>
    </row>
    <row r="13" spans="1:7" ht="11.25" customHeight="1">
      <c r="A13" t="s">
        <v>14</v>
      </c>
      <c r="B13" t="s">
        <v>105</v>
      </c>
      <c r="C13" t="s">
        <v>106</v>
      </c>
      <c r="D13" t="s">
        <v>2814</v>
      </c>
      <c r="E13" t="s">
        <v>2815</v>
      </c>
      <c r="F13" t="s">
        <v>2795</v>
      </c>
      <c r="G13" t="s">
        <v>147</v>
      </c>
    </row>
    <row r="14" spans="1:7" ht="11.25" customHeight="1">
      <c r="A14" t="s">
        <v>14</v>
      </c>
      <c r="B14" t="s">
        <v>105</v>
      </c>
      <c r="C14" t="s">
        <v>106</v>
      </c>
      <c r="D14" t="s">
        <v>2816</v>
      </c>
      <c r="E14" t="s">
        <v>2817</v>
      </c>
      <c r="F14" t="s">
        <v>2795</v>
      </c>
      <c r="G14" t="s">
        <v>152</v>
      </c>
    </row>
    <row r="15" spans="1:7" ht="11.25" customHeight="1">
      <c r="A15" t="s">
        <v>14</v>
      </c>
      <c r="B15" t="s">
        <v>105</v>
      </c>
      <c r="C15" t="s">
        <v>106</v>
      </c>
      <c r="D15" t="s">
        <v>2818</v>
      </c>
      <c r="E15" t="s">
        <v>2819</v>
      </c>
      <c r="F15" t="s">
        <v>2795</v>
      </c>
      <c r="G15" t="s">
        <v>157</v>
      </c>
    </row>
    <row r="16" spans="1:7" ht="11.25" customHeight="1">
      <c r="A16" t="s">
        <v>14</v>
      </c>
      <c r="B16" t="s">
        <v>105</v>
      </c>
      <c r="C16" t="s">
        <v>106</v>
      </c>
      <c r="D16" t="s">
        <v>2820</v>
      </c>
      <c r="E16" t="s">
        <v>2821</v>
      </c>
      <c r="F16" t="s">
        <v>2795</v>
      </c>
      <c r="G16" t="s">
        <v>162</v>
      </c>
    </row>
    <row r="17" spans="1:7" ht="11.25" customHeight="1">
      <c r="A17" t="s">
        <v>14</v>
      </c>
      <c r="B17" t="s">
        <v>105</v>
      </c>
      <c r="C17" t="s">
        <v>106</v>
      </c>
      <c r="D17" t="s">
        <v>2822</v>
      </c>
      <c r="E17" t="s">
        <v>2823</v>
      </c>
      <c r="F17" t="s">
        <v>2795</v>
      </c>
      <c r="G17" t="s">
        <v>167</v>
      </c>
    </row>
    <row r="18" spans="1:7" ht="11.25" customHeight="1">
      <c r="A18" t="s">
        <v>14</v>
      </c>
      <c r="B18" t="s">
        <v>105</v>
      </c>
      <c r="C18" t="s">
        <v>106</v>
      </c>
      <c r="D18" t="s">
        <v>2824</v>
      </c>
      <c r="E18" t="s">
        <v>2825</v>
      </c>
      <c r="F18" t="s">
        <v>2795</v>
      </c>
      <c r="G18" t="s">
        <v>1601</v>
      </c>
    </row>
    <row r="19" spans="1:7" ht="11.25" customHeight="1">
      <c r="A19" t="s">
        <v>14</v>
      </c>
      <c r="B19" t="s">
        <v>105</v>
      </c>
      <c r="C19" t="s">
        <v>106</v>
      </c>
      <c r="D19" t="s">
        <v>2826</v>
      </c>
      <c r="E19" t="s">
        <v>2827</v>
      </c>
      <c r="F19" t="s">
        <v>2795</v>
      </c>
      <c r="G19" t="s">
        <v>1615</v>
      </c>
    </row>
    <row r="20" spans="1:7" ht="11.25" customHeight="1">
      <c r="A20" t="s">
        <v>14</v>
      </c>
      <c r="B20" t="s">
        <v>105</v>
      </c>
      <c r="C20" t="s">
        <v>106</v>
      </c>
      <c r="D20" t="s">
        <v>2828</v>
      </c>
      <c r="E20" t="s">
        <v>2829</v>
      </c>
      <c r="F20" t="s">
        <v>2795</v>
      </c>
      <c r="G20" t="s">
        <v>1627</v>
      </c>
    </row>
    <row r="21" spans="1:7" ht="11.25" customHeight="1">
      <c r="A21" t="s">
        <v>14</v>
      </c>
      <c r="B21" t="s">
        <v>105</v>
      </c>
      <c r="C21" t="s">
        <v>106</v>
      </c>
      <c r="D21" t="s">
        <v>2830</v>
      </c>
      <c r="E21" t="s">
        <v>2831</v>
      </c>
      <c r="F21" t="s">
        <v>2795</v>
      </c>
      <c r="G21" t="s">
        <v>1636</v>
      </c>
    </row>
    <row r="22" spans="1:7" ht="11.25" customHeight="1">
      <c r="A22" t="s">
        <v>14</v>
      </c>
      <c r="B22" t="s">
        <v>109</v>
      </c>
      <c r="C22" t="s">
        <v>110</v>
      </c>
      <c r="D22" t="s">
        <v>109</v>
      </c>
      <c r="E22" t="s">
        <v>110</v>
      </c>
      <c r="F22" t="s">
        <v>2796</v>
      </c>
      <c r="G22" t="s">
        <v>108</v>
      </c>
    </row>
    <row r="23" spans="1:7" ht="11.25" customHeight="1">
      <c r="A23" t="s">
        <v>14</v>
      </c>
      <c r="B23" t="s">
        <v>109</v>
      </c>
      <c r="C23" t="s">
        <v>110</v>
      </c>
      <c r="D23" t="s">
        <v>2832</v>
      </c>
      <c r="E23" t="s">
        <v>2833</v>
      </c>
      <c r="F23" t="s">
        <v>2795</v>
      </c>
      <c r="G23" t="s">
        <v>1658</v>
      </c>
    </row>
    <row r="24" spans="1:7" ht="11.25" customHeight="1">
      <c r="A24" t="s">
        <v>14</v>
      </c>
      <c r="B24" t="s">
        <v>109</v>
      </c>
      <c r="C24" t="s">
        <v>110</v>
      </c>
      <c r="D24" t="s">
        <v>2834</v>
      </c>
      <c r="E24" t="s">
        <v>2835</v>
      </c>
      <c r="F24" t="s">
        <v>2795</v>
      </c>
      <c r="G24" t="s">
        <v>1666</v>
      </c>
    </row>
    <row r="25" spans="1:7" ht="11.25" customHeight="1">
      <c r="A25" t="s">
        <v>14</v>
      </c>
      <c r="B25" t="s">
        <v>109</v>
      </c>
      <c r="C25" t="s">
        <v>110</v>
      </c>
      <c r="D25" t="s">
        <v>2836</v>
      </c>
      <c r="E25" t="s">
        <v>2837</v>
      </c>
      <c r="F25" t="s">
        <v>2795</v>
      </c>
      <c r="G25" t="s">
        <v>1673</v>
      </c>
    </row>
    <row r="26" spans="1:7" ht="11.25" customHeight="1">
      <c r="A26" t="s">
        <v>14</v>
      </c>
      <c r="B26" t="s">
        <v>109</v>
      </c>
      <c r="C26" t="s">
        <v>110</v>
      </c>
      <c r="D26" t="s">
        <v>2838</v>
      </c>
      <c r="E26" t="s">
        <v>2839</v>
      </c>
      <c r="F26" t="s">
        <v>2795</v>
      </c>
      <c r="G26" t="s">
        <v>1677</v>
      </c>
    </row>
    <row r="27" spans="1:7" ht="11.25" customHeight="1">
      <c r="A27" t="s">
        <v>14</v>
      </c>
      <c r="B27" t="s">
        <v>109</v>
      </c>
      <c r="C27" t="s">
        <v>110</v>
      </c>
      <c r="D27" t="s">
        <v>2840</v>
      </c>
      <c r="E27" t="s">
        <v>2841</v>
      </c>
      <c r="F27" t="s">
        <v>2795</v>
      </c>
      <c r="G27" t="s">
        <v>1682</v>
      </c>
    </row>
    <row r="28" spans="1:7" ht="11.25" customHeight="1">
      <c r="A28" t="s">
        <v>14</v>
      </c>
      <c r="B28" t="s">
        <v>109</v>
      </c>
      <c r="C28" t="s">
        <v>110</v>
      </c>
      <c r="D28" t="s">
        <v>2842</v>
      </c>
      <c r="E28" t="s">
        <v>2843</v>
      </c>
      <c r="F28" t="s">
        <v>2795</v>
      </c>
      <c r="G28" t="s">
        <v>1690</v>
      </c>
    </row>
    <row r="29" spans="1:7" ht="11.25" customHeight="1">
      <c r="A29" t="s">
        <v>14</v>
      </c>
      <c r="B29" t="s">
        <v>109</v>
      </c>
      <c r="C29" t="s">
        <v>110</v>
      </c>
      <c r="D29" t="s">
        <v>2844</v>
      </c>
      <c r="E29" t="s">
        <v>2845</v>
      </c>
      <c r="F29" t="s">
        <v>2795</v>
      </c>
      <c r="G29" t="s">
        <v>1692</v>
      </c>
    </row>
    <row r="30" spans="1:7" ht="11.25" customHeight="1">
      <c r="A30" t="s">
        <v>14</v>
      </c>
      <c r="B30" t="s">
        <v>109</v>
      </c>
      <c r="C30" t="s">
        <v>110</v>
      </c>
      <c r="D30" t="s">
        <v>2846</v>
      </c>
      <c r="E30" t="s">
        <v>2847</v>
      </c>
      <c r="F30" t="s">
        <v>2848</v>
      </c>
      <c r="G30" t="s">
        <v>1695</v>
      </c>
    </row>
    <row r="31" spans="1:7" ht="11.25" customHeight="1">
      <c r="A31" t="s">
        <v>14</v>
      </c>
      <c r="B31" t="s">
        <v>109</v>
      </c>
      <c r="C31" t="s">
        <v>110</v>
      </c>
      <c r="D31" t="s">
        <v>2849</v>
      </c>
      <c r="E31" t="s">
        <v>2850</v>
      </c>
      <c r="F31" t="s">
        <v>2811</v>
      </c>
      <c r="G31" t="s">
        <v>1701</v>
      </c>
    </row>
    <row r="32" spans="1:7" ht="11.25" customHeight="1">
      <c r="A32" t="s">
        <v>14</v>
      </c>
      <c r="B32" t="s">
        <v>109</v>
      </c>
      <c r="C32" t="s">
        <v>110</v>
      </c>
      <c r="D32" t="s">
        <v>2851</v>
      </c>
      <c r="E32" t="s">
        <v>2852</v>
      </c>
      <c r="F32" t="s">
        <v>2811</v>
      </c>
      <c r="G32" t="s">
        <v>1703</v>
      </c>
    </row>
    <row r="33" spans="1:7" ht="11.25" customHeight="1">
      <c r="A33" t="s">
        <v>14</v>
      </c>
      <c r="B33" t="s">
        <v>113</v>
      </c>
      <c r="C33" t="s">
        <v>114</v>
      </c>
      <c r="D33" t="s">
        <v>2853</v>
      </c>
      <c r="E33" t="s">
        <v>2854</v>
      </c>
      <c r="F33" t="s">
        <v>2795</v>
      </c>
      <c r="G33" t="s">
        <v>1705</v>
      </c>
    </row>
    <row r="34" spans="1:7" ht="11.25" customHeight="1">
      <c r="A34" t="s">
        <v>14</v>
      </c>
      <c r="B34" t="s">
        <v>113</v>
      </c>
      <c r="C34" t="s">
        <v>114</v>
      </c>
      <c r="D34" t="s">
        <v>2855</v>
      </c>
      <c r="E34" t="s">
        <v>2856</v>
      </c>
      <c r="F34" t="s">
        <v>2795</v>
      </c>
      <c r="G34" t="s">
        <v>1707</v>
      </c>
    </row>
    <row r="35" spans="1:7" ht="11.25" customHeight="1">
      <c r="A35" t="s">
        <v>14</v>
      </c>
      <c r="B35" t="s">
        <v>113</v>
      </c>
      <c r="C35" t="s">
        <v>114</v>
      </c>
      <c r="D35" t="s">
        <v>2857</v>
      </c>
      <c r="E35" t="s">
        <v>2858</v>
      </c>
      <c r="F35" t="s">
        <v>2795</v>
      </c>
      <c r="G35" t="s">
        <v>1712</v>
      </c>
    </row>
    <row r="36" spans="1:7" ht="11.25" customHeight="1">
      <c r="A36" t="s">
        <v>14</v>
      </c>
      <c r="B36" t="s">
        <v>113</v>
      </c>
      <c r="C36" t="s">
        <v>114</v>
      </c>
      <c r="D36" t="s">
        <v>113</v>
      </c>
      <c r="E36" t="s">
        <v>114</v>
      </c>
      <c r="F36" t="s">
        <v>2796</v>
      </c>
      <c r="G36" t="s">
        <v>112</v>
      </c>
    </row>
    <row r="37" spans="1:7" ht="11.25" customHeight="1">
      <c r="A37" t="s">
        <v>14</v>
      </c>
      <c r="B37" t="s">
        <v>113</v>
      </c>
      <c r="C37" t="s">
        <v>114</v>
      </c>
      <c r="D37" t="s">
        <v>2859</v>
      </c>
      <c r="E37" t="s">
        <v>2860</v>
      </c>
      <c r="F37" t="s">
        <v>2795</v>
      </c>
      <c r="G37" t="s">
        <v>1720</v>
      </c>
    </row>
    <row r="38" spans="1:7" ht="11.25" customHeight="1">
      <c r="A38" t="s">
        <v>14</v>
      </c>
      <c r="B38" t="s">
        <v>113</v>
      </c>
      <c r="C38" t="s">
        <v>114</v>
      </c>
      <c r="D38" t="s">
        <v>2861</v>
      </c>
      <c r="E38" t="s">
        <v>2862</v>
      </c>
      <c r="F38" t="s">
        <v>2795</v>
      </c>
      <c r="G38" t="s">
        <v>1728</v>
      </c>
    </row>
    <row r="39" spans="1:7" ht="11.25" customHeight="1">
      <c r="A39" t="s">
        <v>14</v>
      </c>
      <c r="B39" t="s">
        <v>113</v>
      </c>
      <c r="C39" t="s">
        <v>114</v>
      </c>
      <c r="D39" t="s">
        <v>2863</v>
      </c>
      <c r="E39" t="s">
        <v>2864</v>
      </c>
      <c r="F39" t="s">
        <v>2795</v>
      </c>
      <c r="G39" t="s">
        <v>1734</v>
      </c>
    </row>
    <row r="40" spans="1:7" ht="11.25" customHeight="1">
      <c r="A40" t="s">
        <v>14</v>
      </c>
      <c r="B40" t="s">
        <v>113</v>
      </c>
      <c r="C40" t="s">
        <v>114</v>
      </c>
      <c r="D40" t="s">
        <v>2865</v>
      </c>
      <c r="E40" t="s">
        <v>2866</v>
      </c>
      <c r="F40" t="s">
        <v>2795</v>
      </c>
      <c r="G40" t="s">
        <v>1739</v>
      </c>
    </row>
    <row r="41" spans="1:7" ht="11.25" customHeight="1">
      <c r="A41" t="s">
        <v>14</v>
      </c>
      <c r="B41" t="s">
        <v>113</v>
      </c>
      <c r="C41" t="s">
        <v>114</v>
      </c>
      <c r="D41" t="s">
        <v>2867</v>
      </c>
      <c r="E41" t="s">
        <v>2868</v>
      </c>
      <c r="F41" t="s">
        <v>2795</v>
      </c>
      <c r="G41" t="s">
        <v>1743</v>
      </c>
    </row>
    <row r="42" spans="1:7" ht="11.25" customHeight="1">
      <c r="A42" t="s">
        <v>14</v>
      </c>
      <c r="B42" t="s">
        <v>113</v>
      </c>
      <c r="C42" t="s">
        <v>114</v>
      </c>
      <c r="D42" t="s">
        <v>2869</v>
      </c>
      <c r="E42" t="s">
        <v>2870</v>
      </c>
      <c r="F42" t="s">
        <v>2811</v>
      </c>
      <c r="G42" t="s">
        <v>1746</v>
      </c>
    </row>
    <row r="43" spans="1:7" ht="11.25" customHeight="1">
      <c r="A43" t="s">
        <v>14</v>
      </c>
      <c r="B43" t="s">
        <v>118</v>
      </c>
      <c r="C43" t="s">
        <v>119</v>
      </c>
      <c r="D43" t="s">
        <v>2871</v>
      </c>
      <c r="E43" t="s">
        <v>2872</v>
      </c>
      <c r="F43" t="s">
        <v>2795</v>
      </c>
      <c r="G43" t="s">
        <v>1753</v>
      </c>
    </row>
    <row r="44" spans="1:7" ht="11.25" customHeight="1">
      <c r="A44" t="s">
        <v>14</v>
      </c>
      <c r="B44" t="s">
        <v>118</v>
      </c>
      <c r="C44" t="s">
        <v>119</v>
      </c>
      <c r="D44" t="s">
        <v>118</v>
      </c>
      <c r="E44" t="s">
        <v>119</v>
      </c>
      <c r="F44" t="s">
        <v>2796</v>
      </c>
      <c r="G44" t="s">
        <v>117</v>
      </c>
    </row>
    <row r="45" spans="1:7" ht="11.25" customHeight="1">
      <c r="A45" t="s">
        <v>14</v>
      </c>
      <c r="B45" t="s">
        <v>118</v>
      </c>
      <c r="C45" t="s">
        <v>119</v>
      </c>
      <c r="D45" t="s">
        <v>2873</v>
      </c>
      <c r="E45" t="s">
        <v>2874</v>
      </c>
      <c r="F45" t="s">
        <v>2795</v>
      </c>
      <c r="G45" t="s">
        <v>1766</v>
      </c>
    </row>
    <row r="46" spans="1:7" ht="11.25" customHeight="1">
      <c r="A46" t="s">
        <v>14</v>
      </c>
      <c r="B46" t="s">
        <v>118</v>
      </c>
      <c r="C46" t="s">
        <v>119</v>
      </c>
      <c r="D46" t="s">
        <v>2875</v>
      </c>
      <c r="E46" t="s">
        <v>2876</v>
      </c>
      <c r="F46" t="s">
        <v>2795</v>
      </c>
      <c r="G46" t="s">
        <v>1770</v>
      </c>
    </row>
    <row r="47" spans="1:7" ht="11.25" customHeight="1">
      <c r="A47" t="s">
        <v>14</v>
      </c>
      <c r="B47" t="s">
        <v>118</v>
      </c>
      <c r="C47" t="s">
        <v>119</v>
      </c>
      <c r="D47" t="s">
        <v>2877</v>
      </c>
      <c r="E47" t="s">
        <v>2878</v>
      </c>
      <c r="F47" t="s">
        <v>2795</v>
      </c>
      <c r="G47" t="s">
        <v>1776</v>
      </c>
    </row>
    <row r="48" spans="1:7" ht="11.25" customHeight="1">
      <c r="A48" t="s">
        <v>14</v>
      </c>
      <c r="B48" t="s">
        <v>118</v>
      </c>
      <c r="C48" t="s">
        <v>119</v>
      </c>
      <c r="D48" t="s">
        <v>2879</v>
      </c>
      <c r="E48" t="s">
        <v>2880</v>
      </c>
      <c r="F48" t="s">
        <v>2795</v>
      </c>
      <c r="G48" t="s">
        <v>1781</v>
      </c>
    </row>
    <row r="49" spans="1:7" ht="11.25" customHeight="1">
      <c r="A49" t="s">
        <v>14</v>
      </c>
      <c r="B49" t="s">
        <v>118</v>
      </c>
      <c r="C49" t="s">
        <v>119</v>
      </c>
      <c r="D49" t="s">
        <v>2881</v>
      </c>
      <c r="E49" t="s">
        <v>2882</v>
      </c>
      <c r="F49" t="s">
        <v>2795</v>
      </c>
      <c r="G49" t="s">
        <v>1784</v>
      </c>
    </row>
    <row r="50" spans="1:7" ht="11.25" customHeight="1">
      <c r="A50" t="s">
        <v>14</v>
      </c>
      <c r="B50" t="s">
        <v>118</v>
      </c>
      <c r="C50" t="s">
        <v>119</v>
      </c>
      <c r="D50" t="s">
        <v>2883</v>
      </c>
      <c r="E50" t="s">
        <v>2884</v>
      </c>
      <c r="F50" t="s">
        <v>2795</v>
      </c>
      <c r="G50" t="s">
        <v>1788</v>
      </c>
    </row>
    <row r="51" spans="1:7" ht="11.25" customHeight="1">
      <c r="A51" t="s">
        <v>14</v>
      </c>
      <c r="B51" t="s">
        <v>118</v>
      </c>
      <c r="C51" t="s">
        <v>119</v>
      </c>
      <c r="D51" t="s">
        <v>2885</v>
      </c>
      <c r="E51" t="s">
        <v>2886</v>
      </c>
      <c r="F51" t="s">
        <v>2795</v>
      </c>
      <c r="G51" t="s">
        <v>1792</v>
      </c>
    </row>
    <row r="52" spans="1:7" ht="11.25" customHeight="1">
      <c r="A52" t="s">
        <v>14</v>
      </c>
      <c r="B52" t="s">
        <v>118</v>
      </c>
      <c r="C52" t="s">
        <v>119</v>
      </c>
      <c r="D52" t="s">
        <v>2887</v>
      </c>
      <c r="E52" t="s">
        <v>2888</v>
      </c>
      <c r="F52" t="s">
        <v>2811</v>
      </c>
      <c r="G52" t="s">
        <v>1796</v>
      </c>
    </row>
    <row r="53" spans="1:7" ht="11.25" customHeight="1">
      <c r="A53" t="s">
        <v>14</v>
      </c>
      <c r="B53" t="s">
        <v>122</v>
      </c>
      <c r="C53" t="s">
        <v>123</v>
      </c>
      <c r="D53" t="s">
        <v>2889</v>
      </c>
      <c r="E53" t="s">
        <v>2890</v>
      </c>
      <c r="F53" t="s">
        <v>2795</v>
      </c>
      <c r="G53" t="s">
        <v>1798</v>
      </c>
    </row>
    <row r="54" spans="1:7" ht="11.25" customHeight="1">
      <c r="A54" t="s">
        <v>14</v>
      </c>
      <c r="B54" t="s">
        <v>122</v>
      </c>
      <c r="C54" t="s">
        <v>123</v>
      </c>
      <c r="D54" t="s">
        <v>2891</v>
      </c>
      <c r="E54" t="s">
        <v>2892</v>
      </c>
      <c r="F54" t="s">
        <v>2795</v>
      </c>
      <c r="G54" t="s">
        <v>1801</v>
      </c>
    </row>
    <row r="55" spans="1:7" ht="11.25" customHeight="1">
      <c r="A55" t="s">
        <v>14</v>
      </c>
      <c r="B55" t="s">
        <v>122</v>
      </c>
      <c r="C55" t="s">
        <v>123</v>
      </c>
      <c r="D55" t="s">
        <v>2893</v>
      </c>
      <c r="E55" t="s">
        <v>2894</v>
      </c>
      <c r="F55" t="s">
        <v>2795</v>
      </c>
      <c r="G55" t="s">
        <v>1805</v>
      </c>
    </row>
    <row r="56" spans="1:7" ht="11.25" customHeight="1">
      <c r="A56" t="s">
        <v>14</v>
      </c>
      <c r="B56" t="s">
        <v>122</v>
      </c>
      <c r="C56" t="s">
        <v>123</v>
      </c>
      <c r="D56" t="s">
        <v>122</v>
      </c>
      <c r="E56" t="s">
        <v>123</v>
      </c>
      <c r="F56" t="s">
        <v>2796</v>
      </c>
      <c r="G56" t="s">
        <v>121</v>
      </c>
    </row>
    <row r="57" spans="1:7" ht="11.25" customHeight="1">
      <c r="A57" t="s">
        <v>14</v>
      </c>
      <c r="B57" t="s">
        <v>122</v>
      </c>
      <c r="C57" t="s">
        <v>123</v>
      </c>
      <c r="D57" t="s">
        <v>2895</v>
      </c>
      <c r="E57" t="s">
        <v>2896</v>
      </c>
      <c r="F57" t="s">
        <v>2795</v>
      </c>
      <c r="G57" t="s">
        <v>1810</v>
      </c>
    </row>
    <row r="58" spans="1:7" ht="11.25" customHeight="1">
      <c r="A58" t="s">
        <v>14</v>
      </c>
      <c r="B58" t="s">
        <v>122</v>
      </c>
      <c r="C58" t="s">
        <v>123</v>
      </c>
      <c r="D58" t="s">
        <v>2897</v>
      </c>
      <c r="E58" t="s">
        <v>2898</v>
      </c>
      <c r="F58" t="s">
        <v>2795</v>
      </c>
      <c r="G58" t="s">
        <v>1813</v>
      </c>
    </row>
    <row r="59" spans="1:7" ht="11.25" customHeight="1">
      <c r="A59" t="s">
        <v>14</v>
      </c>
      <c r="B59" t="s">
        <v>122</v>
      </c>
      <c r="C59" t="s">
        <v>123</v>
      </c>
      <c r="D59" t="s">
        <v>2899</v>
      </c>
      <c r="E59" t="s">
        <v>2900</v>
      </c>
      <c r="F59" t="s">
        <v>2811</v>
      </c>
      <c r="G59" t="s">
        <v>1817</v>
      </c>
    </row>
    <row r="60" spans="1:7" ht="11.25" customHeight="1">
      <c r="A60" t="s">
        <v>14</v>
      </c>
      <c r="B60" t="s">
        <v>126</v>
      </c>
      <c r="C60" t="s">
        <v>127</v>
      </c>
      <c r="D60" t="s">
        <v>2901</v>
      </c>
      <c r="E60" t="s">
        <v>2902</v>
      </c>
      <c r="F60" t="s">
        <v>2795</v>
      </c>
      <c r="G60" t="s">
        <v>1819</v>
      </c>
    </row>
    <row r="61" spans="1:7" ht="11.25" customHeight="1">
      <c r="A61" t="s">
        <v>14</v>
      </c>
      <c r="B61" t="s">
        <v>126</v>
      </c>
      <c r="C61" t="s">
        <v>127</v>
      </c>
      <c r="D61" t="s">
        <v>2903</v>
      </c>
      <c r="E61" t="s">
        <v>2904</v>
      </c>
      <c r="F61" t="s">
        <v>2795</v>
      </c>
      <c r="G61" t="s">
        <v>2905</v>
      </c>
    </row>
    <row r="62" spans="1:7" ht="11.25" customHeight="1">
      <c r="A62" t="s">
        <v>14</v>
      </c>
      <c r="B62" t="s">
        <v>126</v>
      </c>
      <c r="C62" t="s">
        <v>127</v>
      </c>
      <c r="D62" t="s">
        <v>2906</v>
      </c>
      <c r="E62" t="s">
        <v>2907</v>
      </c>
      <c r="F62" t="s">
        <v>2795</v>
      </c>
      <c r="G62" t="s">
        <v>2908</v>
      </c>
    </row>
    <row r="63" spans="1:7" ht="11.25" customHeight="1">
      <c r="A63" t="s">
        <v>14</v>
      </c>
      <c r="B63" t="s">
        <v>126</v>
      </c>
      <c r="C63" t="s">
        <v>127</v>
      </c>
      <c r="D63" t="s">
        <v>2909</v>
      </c>
      <c r="E63" t="s">
        <v>2910</v>
      </c>
      <c r="F63" t="s">
        <v>2795</v>
      </c>
      <c r="G63" t="s">
        <v>2911</v>
      </c>
    </row>
    <row r="64" spans="1:7" ht="11.25" customHeight="1">
      <c r="A64" t="s">
        <v>14</v>
      </c>
      <c r="B64" t="s">
        <v>126</v>
      </c>
      <c r="C64" t="s">
        <v>127</v>
      </c>
      <c r="D64" t="s">
        <v>2820</v>
      </c>
      <c r="E64" t="s">
        <v>2912</v>
      </c>
      <c r="F64" t="s">
        <v>2795</v>
      </c>
      <c r="G64" t="s">
        <v>2913</v>
      </c>
    </row>
    <row r="65" spans="1:7" ht="11.25" customHeight="1">
      <c r="A65" t="s">
        <v>14</v>
      </c>
      <c r="B65" t="s">
        <v>126</v>
      </c>
      <c r="C65" t="s">
        <v>127</v>
      </c>
      <c r="D65" t="s">
        <v>2914</v>
      </c>
      <c r="E65" t="s">
        <v>2915</v>
      </c>
      <c r="F65" t="s">
        <v>2795</v>
      </c>
      <c r="G65" t="s">
        <v>2916</v>
      </c>
    </row>
    <row r="66" spans="1:7" ht="11.25" customHeight="1">
      <c r="A66" t="s">
        <v>14</v>
      </c>
      <c r="B66" t="s">
        <v>126</v>
      </c>
      <c r="C66" t="s">
        <v>127</v>
      </c>
      <c r="D66" t="s">
        <v>2917</v>
      </c>
      <c r="E66" t="s">
        <v>2918</v>
      </c>
      <c r="F66" t="s">
        <v>2795</v>
      </c>
      <c r="G66" t="s">
        <v>2919</v>
      </c>
    </row>
    <row r="67" spans="1:7" ht="11.25" customHeight="1">
      <c r="A67" t="s">
        <v>14</v>
      </c>
      <c r="B67" t="s">
        <v>126</v>
      </c>
      <c r="C67" t="s">
        <v>127</v>
      </c>
      <c r="D67" t="s">
        <v>2920</v>
      </c>
      <c r="E67" t="s">
        <v>2921</v>
      </c>
      <c r="F67" t="s">
        <v>2795</v>
      </c>
      <c r="G67" t="s">
        <v>2040</v>
      </c>
    </row>
    <row r="68" spans="1:7" ht="11.25" customHeight="1">
      <c r="A68" t="s">
        <v>14</v>
      </c>
      <c r="B68" t="s">
        <v>126</v>
      </c>
      <c r="C68" t="s">
        <v>127</v>
      </c>
      <c r="D68" t="s">
        <v>126</v>
      </c>
      <c r="E68" t="s">
        <v>127</v>
      </c>
      <c r="F68" t="s">
        <v>2796</v>
      </c>
      <c r="G68" t="s">
        <v>125</v>
      </c>
    </row>
    <row r="69" spans="1:7" ht="11.25" customHeight="1">
      <c r="A69" t="s">
        <v>14</v>
      </c>
      <c r="B69" t="s">
        <v>126</v>
      </c>
      <c r="C69" t="s">
        <v>127</v>
      </c>
      <c r="D69" t="s">
        <v>2922</v>
      </c>
      <c r="E69" t="s">
        <v>2923</v>
      </c>
      <c r="F69" t="s">
        <v>2795</v>
      </c>
      <c r="G69" t="s">
        <v>2251</v>
      </c>
    </row>
    <row r="70" spans="1:7" ht="11.25" customHeight="1">
      <c r="A70" t="s">
        <v>14</v>
      </c>
      <c r="B70" t="s">
        <v>126</v>
      </c>
      <c r="C70" t="s">
        <v>127</v>
      </c>
      <c r="D70" t="s">
        <v>2924</v>
      </c>
      <c r="E70" t="s">
        <v>2925</v>
      </c>
      <c r="F70" t="s">
        <v>2795</v>
      </c>
      <c r="G70" t="s">
        <v>2926</v>
      </c>
    </row>
    <row r="71" spans="1:7" ht="11.25" customHeight="1">
      <c r="A71" t="s">
        <v>14</v>
      </c>
      <c r="B71" t="s">
        <v>126</v>
      </c>
      <c r="C71" t="s">
        <v>127</v>
      </c>
      <c r="D71" t="s">
        <v>2927</v>
      </c>
      <c r="E71" t="s">
        <v>2928</v>
      </c>
      <c r="F71" t="s">
        <v>2795</v>
      </c>
      <c r="G71" t="s">
        <v>2929</v>
      </c>
    </row>
    <row r="72" spans="1:7" ht="11.25" customHeight="1">
      <c r="A72" t="s">
        <v>14</v>
      </c>
      <c r="B72" t="s">
        <v>126</v>
      </c>
      <c r="C72" t="s">
        <v>127</v>
      </c>
      <c r="D72" t="s">
        <v>2930</v>
      </c>
      <c r="E72" t="s">
        <v>2931</v>
      </c>
      <c r="F72" t="s">
        <v>2795</v>
      </c>
      <c r="G72" t="s">
        <v>2932</v>
      </c>
    </row>
    <row r="73" spans="1:7" ht="11.25" customHeight="1">
      <c r="A73" t="s">
        <v>14</v>
      </c>
      <c r="B73" t="s">
        <v>126</v>
      </c>
      <c r="C73" t="s">
        <v>127</v>
      </c>
      <c r="D73" t="s">
        <v>2933</v>
      </c>
      <c r="E73" t="s">
        <v>2934</v>
      </c>
      <c r="F73" t="s">
        <v>2795</v>
      </c>
      <c r="G73" t="s">
        <v>2935</v>
      </c>
    </row>
    <row r="74" spans="1:7" ht="11.25" customHeight="1">
      <c r="A74" t="s">
        <v>14</v>
      </c>
      <c r="B74" t="s">
        <v>126</v>
      </c>
      <c r="C74" t="s">
        <v>127</v>
      </c>
      <c r="D74" t="s">
        <v>2936</v>
      </c>
      <c r="E74" t="s">
        <v>2937</v>
      </c>
      <c r="F74" t="s">
        <v>2795</v>
      </c>
      <c r="G74" t="s">
        <v>2938</v>
      </c>
    </row>
    <row r="75" spans="1:7" ht="11.25" customHeight="1">
      <c r="A75" t="s">
        <v>14</v>
      </c>
      <c r="B75" t="s">
        <v>126</v>
      </c>
      <c r="C75" t="s">
        <v>127</v>
      </c>
      <c r="D75" t="s">
        <v>2939</v>
      </c>
      <c r="E75" t="s">
        <v>2940</v>
      </c>
      <c r="F75" t="s">
        <v>2795</v>
      </c>
      <c r="G75" t="s">
        <v>2941</v>
      </c>
    </row>
    <row r="76" spans="1:7" ht="11.25" customHeight="1">
      <c r="A76" t="s">
        <v>14</v>
      </c>
      <c r="B76" t="s">
        <v>126</v>
      </c>
      <c r="C76" t="s">
        <v>127</v>
      </c>
      <c r="D76" t="s">
        <v>2942</v>
      </c>
      <c r="E76" t="s">
        <v>2943</v>
      </c>
      <c r="F76" t="s">
        <v>2795</v>
      </c>
      <c r="G76" t="s">
        <v>2944</v>
      </c>
    </row>
    <row r="77" spans="1:7" ht="11.25" customHeight="1">
      <c r="A77" t="s">
        <v>14</v>
      </c>
      <c r="B77" t="s">
        <v>126</v>
      </c>
      <c r="C77" t="s">
        <v>127</v>
      </c>
      <c r="D77" t="s">
        <v>2945</v>
      </c>
      <c r="E77" t="s">
        <v>2946</v>
      </c>
      <c r="F77" t="s">
        <v>2795</v>
      </c>
      <c r="G77" t="s">
        <v>2947</v>
      </c>
    </row>
    <row r="78" spans="1:7" ht="11.25" customHeight="1">
      <c r="A78" t="s">
        <v>14</v>
      </c>
      <c r="B78" t="s">
        <v>126</v>
      </c>
      <c r="C78" t="s">
        <v>127</v>
      </c>
      <c r="D78" t="s">
        <v>2948</v>
      </c>
      <c r="E78" t="s">
        <v>2949</v>
      </c>
      <c r="F78" t="s">
        <v>2795</v>
      </c>
      <c r="G78" t="s">
        <v>2950</v>
      </c>
    </row>
    <row r="79" spans="1:7" ht="11.25" customHeight="1">
      <c r="A79" t="s">
        <v>14</v>
      </c>
      <c r="B79" t="s">
        <v>126</v>
      </c>
      <c r="C79" t="s">
        <v>127</v>
      </c>
      <c r="D79" t="s">
        <v>2951</v>
      </c>
      <c r="E79" t="s">
        <v>2952</v>
      </c>
      <c r="F79" t="s">
        <v>2795</v>
      </c>
      <c r="G79" t="s">
        <v>2953</v>
      </c>
    </row>
    <row r="80" spans="1:7" ht="11.25" customHeight="1">
      <c r="A80" t="s">
        <v>14</v>
      </c>
      <c r="B80" t="s">
        <v>126</v>
      </c>
      <c r="C80" t="s">
        <v>127</v>
      </c>
      <c r="D80" t="s">
        <v>2954</v>
      </c>
      <c r="E80" t="s">
        <v>2955</v>
      </c>
      <c r="F80" t="s">
        <v>2811</v>
      </c>
      <c r="G80" t="s">
        <v>2956</v>
      </c>
    </row>
    <row r="81" spans="1:7" ht="11.25" customHeight="1">
      <c r="A81" t="s">
        <v>14</v>
      </c>
      <c r="B81" t="s">
        <v>126</v>
      </c>
      <c r="C81" t="s">
        <v>127</v>
      </c>
      <c r="D81" t="s">
        <v>2957</v>
      </c>
      <c r="E81" t="s">
        <v>2958</v>
      </c>
      <c r="F81" t="s">
        <v>2811</v>
      </c>
      <c r="G81" t="s">
        <v>2959</v>
      </c>
    </row>
    <row r="82" spans="1:7" ht="11.25" customHeight="1">
      <c r="A82" t="s">
        <v>14</v>
      </c>
      <c r="B82" t="s">
        <v>131</v>
      </c>
      <c r="C82" t="s">
        <v>132</v>
      </c>
      <c r="D82" t="s">
        <v>2960</v>
      </c>
      <c r="E82" t="s">
        <v>2961</v>
      </c>
      <c r="F82" t="s">
        <v>2795</v>
      </c>
      <c r="G82" t="s">
        <v>2962</v>
      </c>
    </row>
    <row r="83" spans="1:7" ht="11.25" customHeight="1">
      <c r="A83" t="s">
        <v>14</v>
      </c>
      <c r="B83" t="s">
        <v>131</v>
      </c>
      <c r="C83" t="s">
        <v>132</v>
      </c>
      <c r="D83" t="s">
        <v>2963</v>
      </c>
      <c r="E83" t="s">
        <v>2964</v>
      </c>
      <c r="F83" t="s">
        <v>2795</v>
      </c>
      <c r="G83" t="s">
        <v>2965</v>
      </c>
    </row>
    <row r="84" spans="1:7" ht="11.25" customHeight="1">
      <c r="A84" t="s">
        <v>14</v>
      </c>
      <c r="B84" t="s">
        <v>131</v>
      </c>
      <c r="C84" t="s">
        <v>132</v>
      </c>
      <c r="D84" t="s">
        <v>2966</v>
      </c>
      <c r="E84" t="s">
        <v>2967</v>
      </c>
      <c r="F84" t="s">
        <v>2795</v>
      </c>
      <c r="G84" t="s">
        <v>2968</v>
      </c>
    </row>
    <row r="85" spans="1:7" ht="11.25" customHeight="1">
      <c r="A85" t="s">
        <v>14</v>
      </c>
      <c r="B85" t="s">
        <v>131</v>
      </c>
      <c r="C85" t="s">
        <v>132</v>
      </c>
      <c r="D85" t="s">
        <v>131</v>
      </c>
      <c r="E85" t="s">
        <v>132</v>
      </c>
      <c r="F85" t="s">
        <v>2796</v>
      </c>
      <c r="G85" t="s">
        <v>130</v>
      </c>
    </row>
    <row r="86" spans="1:7" ht="11.25" customHeight="1">
      <c r="A86" t="s">
        <v>14</v>
      </c>
      <c r="B86" t="s">
        <v>131</v>
      </c>
      <c r="C86" t="s">
        <v>132</v>
      </c>
      <c r="D86" t="s">
        <v>2969</v>
      </c>
      <c r="E86" t="s">
        <v>2970</v>
      </c>
      <c r="F86" t="s">
        <v>2795</v>
      </c>
      <c r="G86" t="s">
        <v>2971</v>
      </c>
    </row>
    <row r="87" spans="1:7" ht="11.25" customHeight="1">
      <c r="A87" t="s">
        <v>14</v>
      </c>
      <c r="B87" t="s">
        <v>131</v>
      </c>
      <c r="C87" t="s">
        <v>132</v>
      </c>
      <c r="D87" t="s">
        <v>2972</v>
      </c>
      <c r="E87" t="s">
        <v>2973</v>
      </c>
      <c r="F87" t="s">
        <v>2795</v>
      </c>
      <c r="G87" t="s">
        <v>2974</v>
      </c>
    </row>
    <row r="88" spans="1:7" ht="11.25" customHeight="1">
      <c r="A88" t="s">
        <v>14</v>
      </c>
      <c r="B88" t="s">
        <v>131</v>
      </c>
      <c r="C88" t="s">
        <v>132</v>
      </c>
      <c r="D88" t="s">
        <v>2975</v>
      </c>
      <c r="E88" t="s">
        <v>2976</v>
      </c>
      <c r="F88" t="s">
        <v>2795</v>
      </c>
      <c r="G88" t="s">
        <v>2977</v>
      </c>
    </row>
    <row r="89" spans="1:7" ht="11.25" customHeight="1">
      <c r="A89" t="s">
        <v>14</v>
      </c>
      <c r="B89" t="s">
        <v>131</v>
      </c>
      <c r="C89" t="s">
        <v>132</v>
      </c>
      <c r="D89" t="s">
        <v>2978</v>
      </c>
      <c r="E89" t="s">
        <v>2979</v>
      </c>
      <c r="F89" t="s">
        <v>2795</v>
      </c>
      <c r="G89" t="s">
        <v>2980</v>
      </c>
    </row>
    <row r="90" spans="1:7" ht="11.25" customHeight="1">
      <c r="A90" t="s">
        <v>14</v>
      </c>
      <c r="B90" t="s">
        <v>131</v>
      </c>
      <c r="C90" t="s">
        <v>132</v>
      </c>
      <c r="D90" t="s">
        <v>2981</v>
      </c>
      <c r="E90" t="s">
        <v>2982</v>
      </c>
      <c r="F90" t="s">
        <v>2795</v>
      </c>
      <c r="G90" t="s">
        <v>2983</v>
      </c>
    </row>
    <row r="91" spans="1:7" ht="11.25" customHeight="1">
      <c r="A91" t="s">
        <v>14</v>
      </c>
      <c r="B91" t="s">
        <v>131</v>
      </c>
      <c r="C91" t="s">
        <v>132</v>
      </c>
      <c r="D91" t="s">
        <v>2984</v>
      </c>
      <c r="E91" t="s">
        <v>2985</v>
      </c>
      <c r="F91" t="s">
        <v>2795</v>
      </c>
      <c r="G91" t="s">
        <v>2986</v>
      </c>
    </row>
    <row r="92" spans="1:7" ht="11.25" customHeight="1">
      <c r="A92" t="s">
        <v>14</v>
      </c>
      <c r="B92" t="s">
        <v>131</v>
      </c>
      <c r="C92" t="s">
        <v>132</v>
      </c>
      <c r="D92" t="s">
        <v>2987</v>
      </c>
      <c r="E92" t="s">
        <v>2988</v>
      </c>
      <c r="F92" t="s">
        <v>2811</v>
      </c>
      <c r="G92" t="s">
        <v>2989</v>
      </c>
    </row>
    <row r="93" spans="1:7" ht="11.25" customHeight="1">
      <c r="A93" t="s">
        <v>14</v>
      </c>
      <c r="B93" t="s">
        <v>136</v>
      </c>
      <c r="C93" t="s">
        <v>137</v>
      </c>
      <c r="D93" t="s">
        <v>2990</v>
      </c>
      <c r="E93" t="s">
        <v>2991</v>
      </c>
      <c r="F93" t="s">
        <v>2795</v>
      </c>
      <c r="G93" t="s">
        <v>2992</v>
      </c>
    </row>
    <row r="94" spans="1:7" ht="11.25" customHeight="1">
      <c r="A94" t="s">
        <v>14</v>
      </c>
      <c r="B94" t="s">
        <v>136</v>
      </c>
      <c r="C94" t="s">
        <v>137</v>
      </c>
      <c r="D94" t="s">
        <v>136</v>
      </c>
      <c r="E94" t="s">
        <v>137</v>
      </c>
      <c r="F94" t="s">
        <v>2796</v>
      </c>
      <c r="G94" t="s">
        <v>135</v>
      </c>
    </row>
    <row r="95" spans="1:7" ht="11.25" customHeight="1">
      <c r="A95" t="s">
        <v>14</v>
      </c>
      <c r="B95" t="s">
        <v>136</v>
      </c>
      <c r="C95" t="s">
        <v>137</v>
      </c>
      <c r="D95" t="s">
        <v>2993</v>
      </c>
      <c r="E95" t="s">
        <v>2994</v>
      </c>
      <c r="F95" t="s">
        <v>2795</v>
      </c>
      <c r="G95" t="s">
        <v>2995</v>
      </c>
    </row>
    <row r="96" spans="1:7" ht="11.25" customHeight="1">
      <c r="A96" t="s">
        <v>14</v>
      </c>
      <c r="B96" t="s">
        <v>136</v>
      </c>
      <c r="C96" t="s">
        <v>137</v>
      </c>
      <c r="D96" t="s">
        <v>2996</v>
      </c>
      <c r="E96" t="s">
        <v>2997</v>
      </c>
      <c r="F96" t="s">
        <v>2795</v>
      </c>
      <c r="G96" t="s">
        <v>2998</v>
      </c>
    </row>
    <row r="97" spans="1:7" ht="11.25" customHeight="1">
      <c r="A97" t="s">
        <v>14</v>
      </c>
      <c r="B97" t="s">
        <v>136</v>
      </c>
      <c r="C97" t="s">
        <v>137</v>
      </c>
      <c r="D97" t="s">
        <v>2999</v>
      </c>
      <c r="E97" t="s">
        <v>3000</v>
      </c>
      <c r="F97" t="s">
        <v>2795</v>
      </c>
      <c r="G97" t="s">
        <v>3001</v>
      </c>
    </row>
    <row r="98" spans="1:7" ht="11.25" customHeight="1">
      <c r="A98" t="s">
        <v>14</v>
      </c>
      <c r="B98" t="s">
        <v>136</v>
      </c>
      <c r="C98" t="s">
        <v>137</v>
      </c>
      <c r="D98" t="s">
        <v>3002</v>
      </c>
      <c r="E98" t="s">
        <v>3003</v>
      </c>
      <c r="F98" t="s">
        <v>2811</v>
      </c>
      <c r="G98" t="s">
        <v>3004</v>
      </c>
    </row>
    <row r="99" spans="1:7" ht="11.25" customHeight="1">
      <c r="A99" t="s">
        <v>14</v>
      </c>
      <c r="B99" t="s">
        <v>141</v>
      </c>
      <c r="C99" t="s">
        <v>142</v>
      </c>
      <c r="D99" t="s">
        <v>3005</v>
      </c>
      <c r="E99" t="s">
        <v>3006</v>
      </c>
      <c r="F99" t="s">
        <v>2795</v>
      </c>
      <c r="G99" t="s">
        <v>3007</v>
      </c>
    </row>
    <row r="100" spans="1:7" ht="11.25" customHeight="1">
      <c r="A100" t="s">
        <v>14</v>
      </c>
      <c r="B100" t="s">
        <v>141</v>
      </c>
      <c r="C100" t="s">
        <v>142</v>
      </c>
      <c r="D100" t="s">
        <v>3008</v>
      </c>
      <c r="E100" t="s">
        <v>3009</v>
      </c>
      <c r="F100" t="s">
        <v>2795</v>
      </c>
      <c r="G100" t="s">
        <v>3010</v>
      </c>
    </row>
    <row r="101" spans="1:7" ht="11.25" customHeight="1">
      <c r="A101" t="s">
        <v>14</v>
      </c>
      <c r="B101" t="s">
        <v>141</v>
      </c>
      <c r="C101" t="s">
        <v>142</v>
      </c>
      <c r="D101" t="s">
        <v>3011</v>
      </c>
      <c r="E101" t="s">
        <v>3012</v>
      </c>
      <c r="F101" t="s">
        <v>2795</v>
      </c>
      <c r="G101" t="s">
        <v>3013</v>
      </c>
    </row>
    <row r="102" spans="1:7" ht="11.25" customHeight="1">
      <c r="A102" t="s">
        <v>14</v>
      </c>
      <c r="B102" t="s">
        <v>141</v>
      </c>
      <c r="C102" t="s">
        <v>142</v>
      </c>
      <c r="D102" t="s">
        <v>3014</v>
      </c>
      <c r="E102" t="s">
        <v>3015</v>
      </c>
      <c r="F102" t="s">
        <v>2795</v>
      </c>
      <c r="G102" t="s">
        <v>3016</v>
      </c>
    </row>
    <row r="103" spans="1:7" ht="11.25" customHeight="1">
      <c r="A103" t="s">
        <v>14</v>
      </c>
      <c r="B103" t="s">
        <v>141</v>
      </c>
      <c r="C103" t="s">
        <v>142</v>
      </c>
      <c r="D103" t="s">
        <v>3017</v>
      </c>
      <c r="E103" t="s">
        <v>3018</v>
      </c>
      <c r="F103" t="s">
        <v>2795</v>
      </c>
      <c r="G103" t="s">
        <v>3019</v>
      </c>
    </row>
    <row r="104" spans="1:7" ht="11.25" customHeight="1">
      <c r="A104" t="s">
        <v>14</v>
      </c>
      <c r="B104" t="s">
        <v>141</v>
      </c>
      <c r="C104" t="s">
        <v>142</v>
      </c>
      <c r="D104" t="s">
        <v>141</v>
      </c>
      <c r="E104" t="s">
        <v>142</v>
      </c>
      <c r="F104" t="s">
        <v>2796</v>
      </c>
      <c r="G104" t="s">
        <v>140</v>
      </c>
    </row>
    <row r="105" spans="1:7" ht="11.25" customHeight="1">
      <c r="A105" t="s">
        <v>14</v>
      </c>
      <c r="B105" t="s">
        <v>141</v>
      </c>
      <c r="C105" t="s">
        <v>142</v>
      </c>
      <c r="D105" t="s">
        <v>3020</v>
      </c>
      <c r="E105" t="s">
        <v>3021</v>
      </c>
      <c r="F105" t="s">
        <v>2795</v>
      </c>
      <c r="G105" t="s">
        <v>3022</v>
      </c>
    </row>
    <row r="106" spans="1:7" ht="11.25" customHeight="1">
      <c r="A106" t="s">
        <v>14</v>
      </c>
      <c r="B106" t="s">
        <v>141</v>
      </c>
      <c r="C106" t="s">
        <v>142</v>
      </c>
      <c r="D106" t="s">
        <v>3023</v>
      </c>
      <c r="E106" t="s">
        <v>3024</v>
      </c>
      <c r="F106" t="s">
        <v>2795</v>
      </c>
      <c r="G106" t="s">
        <v>3025</v>
      </c>
    </row>
    <row r="107" spans="1:7" ht="11.25" customHeight="1">
      <c r="A107" t="s">
        <v>14</v>
      </c>
      <c r="B107" t="s">
        <v>141</v>
      </c>
      <c r="C107" t="s">
        <v>142</v>
      </c>
      <c r="D107" t="s">
        <v>3026</v>
      </c>
      <c r="E107" t="s">
        <v>3027</v>
      </c>
      <c r="F107" t="s">
        <v>2795</v>
      </c>
      <c r="G107" t="s">
        <v>3028</v>
      </c>
    </row>
    <row r="108" spans="1:7" ht="11.25" customHeight="1">
      <c r="A108" t="s">
        <v>14</v>
      </c>
      <c r="B108" t="s">
        <v>141</v>
      </c>
      <c r="C108" t="s">
        <v>142</v>
      </c>
      <c r="D108" t="s">
        <v>3029</v>
      </c>
      <c r="E108" t="s">
        <v>3030</v>
      </c>
      <c r="F108" t="s">
        <v>2795</v>
      </c>
      <c r="G108" t="s">
        <v>3031</v>
      </c>
    </row>
    <row r="109" spans="1:7" ht="11.25" customHeight="1">
      <c r="A109" t="s">
        <v>14</v>
      </c>
      <c r="B109" t="s">
        <v>141</v>
      </c>
      <c r="C109" t="s">
        <v>142</v>
      </c>
      <c r="D109" t="s">
        <v>3032</v>
      </c>
      <c r="E109" t="s">
        <v>3033</v>
      </c>
      <c r="F109" t="s">
        <v>2795</v>
      </c>
      <c r="G109" t="s">
        <v>3034</v>
      </c>
    </row>
    <row r="110" spans="1:7" ht="11.25" customHeight="1">
      <c r="A110" t="s">
        <v>14</v>
      </c>
      <c r="B110" t="s">
        <v>141</v>
      </c>
      <c r="C110" t="s">
        <v>142</v>
      </c>
      <c r="D110" t="s">
        <v>3035</v>
      </c>
      <c r="E110" t="s">
        <v>3036</v>
      </c>
      <c r="F110" t="s">
        <v>2811</v>
      </c>
      <c r="G110" t="s">
        <v>3037</v>
      </c>
    </row>
    <row r="111" spans="1:7" ht="11.25" customHeight="1">
      <c r="A111" t="s">
        <v>14</v>
      </c>
      <c r="B111" t="s">
        <v>145</v>
      </c>
      <c r="C111" t="s">
        <v>146</v>
      </c>
      <c r="D111" t="s">
        <v>3038</v>
      </c>
      <c r="E111" t="s">
        <v>3039</v>
      </c>
      <c r="F111" t="s">
        <v>2795</v>
      </c>
      <c r="G111" t="s">
        <v>3040</v>
      </c>
    </row>
    <row r="112" spans="1:7" ht="11.25" customHeight="1">
      <c r="A112" t="s">
        <v>14</v>
      </c>
      <c r="B112" t="s">
        <v>145</v>
      </c>
      <c r="C112" t="s">
        <v>146</v>
      </c>
      <c r="D112" t="s">
        <v>3041</v>
      </c>
      <c r="E112" t="s">
        <v>3042</v>
      </c>
      <c r="F112" t="s">
        <v>2795</v>
      </c>
      <c r="G112" t="s">
        <v>3043</v>
      </c>
    </row>
    <row r="113" spans="1:7" ht="11.25" customHeight="1">
      <c r="A113" t="s">
        <v>14</v>
      </c>
      <c r="B113" t="s">
        <v>145</v>
      </c>
      <c r="C113" t="s">
        <v>146</v>
      </c>
      <c r="D113" t="s">
        <v>3044</v>
      </c>
      <c r="E113" t="s">
        <v>3045</v>
      </c>
      <c r="F113" t="s">
        <v>2795</v>
      </c>
      <c r="G113" t="s">
        <v>3046</v>
      </c>
    </row>
    <row r="114" spans="1:7" ht="11.25" customHeight="1">
      <c r="A114" t="s">
        <v>14</v>
      </c>
      <c r="B114" t="s">
        <v>145</v>
      </c>
      <c r="C114" t="s">
        <v>146</v>
      </c>
      <c r="D114" t="s">
        <v>3047</v>
      </c>
      <c r="E114" t="s">
        <v>3048</v>
      </c>
      <c r="F114" t="s">
        <v>2795</v>
      </c>
      <c r="G114" t="s">
        <v>3049</v>
      </c>
    </row>
    <row r="115" spans="1:7" ht="11.25" customHeight="1">
      <c r="A115" t="s">
        <v>14</v>
      </c>
      <c r="B115" t="s">
        <v>145</v>
      </c>
      <c r="C115" t="s">
        <v>146</v>
      </c>
      <c r="D115" t="s">
        <v>3050</v>
      </c>
      <c r="E115" t="s">
        <v>3051</v>
      </c>
      <c r="F115" t="s">
        <v>2795</v>
      </c>
      <c r="G115" t="s">
        <v>3052</v>
      </c>
    </row>
    <row r="116" spans="1:7" ht="11.25" customHeight="1">
      <c r="A116" t="s">
        <v>14</v>
      </c>
      <c r="B116" t="s">
        <v>145</v>
      </c>
      <c r="C116" t="s">
        <v>146</v>
      </c>
      <c r="D116" t="s">
        <v>145</v>
      </c>
      <c r="E116" t="s">
        <v>146</v>
      </c>
      <c r="F116" t="s">
        <v>2796</v>
      </c>
      <c r="G116" t="s">
        <v>144</v>
      </c>
    </row>
    <row r="117" spans="1:7" ht="11.25" customHeight="1">
      <c r="A117" t="s">
        <v>14</v>
      </c>
      <c r="B117" t="s">
        <v>145</v>
      </c>
      <c r="C117" t="s">
        <v>146</v>
      </c>
      <c r="D117" t="s">
        <v>3053</v>
      </c>
      <c r="E117" t="s">
        <v>3054</v>
      </c>
      <c r="F117" t="s">
        <v>2795</v>
      </c>
      <c r="G117" t="s">
        <v>3055</v>
      </c>
    </row>
    <row r="118" spans="1:7" ht="11.25" customHeight="1">
      <c r="A118" t="s">
        <v>14</v>
      </c>
      <c r="B118" t="s">
        <v>145</v>
      </c>
      <c r="C118" t="s">
        <v>146</v>
      </c>
      <c r="D118" t="s">
        <v>3056</v>
      </c>
      <c r="E118" t="s">
        <v>3057</v>
      </c>
      <c r="F118" t="s">
        <v>2795</v>
      </c>
      <c r="G118" t="s">
        <v>3058</v>
      </c>
    </row>
    <row r="119" spans="1:7" ht="11.25" customHeight="1">
      <c r="A119" t="s">
        <v>14</v>
      </c>
      <c r="B119" t="s">
        <v>145</v>
      </c>
      <c r="C119" t="s">
        <v>146</v>
      </c>
      <c r="D119" t="s">
        <v>3059</v>
      </c>
      <c r="E119" t="s">
        <v>3060</v>
      </c>
      <c r="F119" t="s">
        <v>2795</v>
      </c>
      <c r="G119" t="s">
        <v>3061</v>
      </c>
    </row>
    <row r="120" spans="1:7" ht="11.25" customHeight="1">
      <c r="A120" t="s">
        <v>14</v>
      </c>
      <c r="B120" t="s">
        <v>145</v>
      </c>
      <c r="C120" t="s">
        <v>146</v>
      </c>
      <c r="D120" t="s">
        <v>3062</v>
      </c>
      <c r="E120" t="s">
        <v>3063</v>
      </c>
      <c r="F120" t="s">
        <v>2811</v>
      </c>
      <c r="G120" t="s">
        <v>3064</v>
      </c>
    </row>
    <row r="121" spans="1:7" ht="11.25" customHeight="1">
      <c r="A121" t="s">
        <v>14</v>
      </c>
      <c r="B121" t="s">
        <v>150</v>
      </c>
      <c r="C121" t="s">
        <v>151</v>
      </c>
      <c r="D121" t="s">
        <v>3065</v>
      </c>
      <c r="E121" t="s">
        <v>3066</v>
      </c>
      <c r="F121" t="s">
        <v>2795</v>
      </c>
      <c r="G121" t="s">
        <v>3067</v>
      </c>
    </row>
    <row r="122" spans="1:7" ht="11.25" customHeight="1">
      <c r="A122" t="s">
        <v>14</v>
      </c>
      <c r="B122" t="s">
        <v>150</v>
      </c>
      <c r="C122" t="s">
        <v>151</v>
      </c>
      <c r="D122" t="s">
        <v>3068</v>
      </c>
      <c r="E122" t="s">
        <v>3069</v>
      </c>
      <c r="F122" t="s">
        <v>2795</v>
      </c>
      <c r="G122" t="s">
        <v>3070</v>
      </c>
    </row>
    <row r="123" spans="1:7" ht="11.25" customHeight="1">
      <c r="A123" t="s">
        <v>14</v>
      </c>
      <c r="B123" t="s">
        <v>150</v>
      </c>
      <c r="C123" t="s">
        <v>151</v>
      </c>
      <c r="D123" t="s">
        <v>3071</v>
      </c>
      <c r="E123" t="s">
        <v>3072</v>
      </c>
      <c r="F123" t="s">
        <v>2795</v>
      </c>
      <c r="G123" t="s">
        <v>3073</v>
      </c>
    </row>
    <row r="124" spans="1:7" ht="11.25" customHeight="1">
      <c r="A124" t="s">
        <v>14</v>
      </c>
      <c r="B124" t="s">
        <v>150</v>
      </c>
      <c r="C124" t="s">
        <v>151</v>
      </c>
      <c r="D124" t="s">
        <v>3074</v>
      </c>
      <c r="E124" t="s">
        <v>3075</v>
      </c>
      <c r="F124" t="s">
        <v>2795</v>
      </c>
      <c r="G124" t="s">
        <v>3076</v>
      </c>
    </row>
    <row r="125" spans="1:7" ht="11.25" customHeight="1">
      <c r="A125" t="s">
        <v>14</v>
      </c>
      <c r="B125" t="s">
        <v>150</v>
      </c>
      <c r="C125" t="s">
        <v>151</v>
      </c>
      <c r="D125" t="s">
        <v>3077</v>
      </c>
      <c r="E125" t="s">
        <v>3078</v>
      </c>
      <c r="F125" t="s">
        <v>2795</v>
      </c>
      <c r="G125" t="s">
        <v>3079</v>
      </c>
    </row>
    <row r="126" spans="1:7" ht="11.25" customHeight="1">
      <c r="A126" t="s">
        <v>14</v>
      </c>
      <c r="B126" t="s">
        <v>150</v>
      </c>
      <c r="C126" t="s">
        <v>151</v>
      </c>
      <c r="D126" t="s">
        <v>3080</v>
      </c>
      <c r="E126" t="s">
        <v>3081</v>
      </c>
      <c r="F126" t="s">
        <v>2795</v>
      </c>
      <c r="G126" t="s">
        <v>3082</v>
      </c>
    </row>
    <row r="127" spans="1:7" ht="11.25" customHeight="1">
      <c r="A127" t="s">
        <v>14</v>
      </c>
      <c r="B127" t="s">
        <v>150</v>
      </c>
      <c r="C127" t="s">
        <v>151</v>
      </c>
      <c r="D127" t="s">
        <v>3083</v>
      </c>
      <c r="E127" t="s">
        <v>3084</v>
      </c>
      <c r="F127" t="s">
        <v>2795</v>
      </c>
      <c r="G127" t="s">
        <v>3085</v>
      </c>
    </row>
    <row r="128" spans="1:7" ht="11.25" customHeight="1">
      <c r="A128" t="s">
        <v>14</v>
      </c>
      <c r="B128" t="s">
        <v>150</v>
      </c>
      <c r="C128" t="s">
        <v>151</v>
      </c>
      <c r="D128" t="s">
        <v>150</v>
      </c>
      <c r="E128" t="s">
        <v>151</v>
      </c>
      <c r="F128" t="s">
        <v>2796</v>
      </c>
      <c r="G128" t="s">
        <v>149</v>
      </c>
    </row>
    <row r="129" spans="1:7" ht="11.25" customHeight="1">
      <c r="A129" t="s">
        <v>14</v>
      </c>
      <c r="B129" t="s">
        <v>150</v>
      </c>
      <c r="C129" t="s">
        <v>151</v>
      </c>
      <c r="D129" t="s">
        <v>3086</v>
      </c>
      <c r="E129" t="s">
        <v>3087</v>
      </c>
      <c r="F129" t="s">
        <v>2795</v>
      </c>
      <c r="G129" t="s">
        <v>3088</v>
      </c>
    </row>
    <row r="130" spans="1:7" ht="11.25" customHeight="1">
      <c r="A130" t="s">
        <v>14</v>
      </c>
      <c r="B130" t="s">
        <v>150</v>
      </c>
      <c r="C130" t="s">
        <v>151</v>
      </c>
      <c r="D130" t="s">
        <v>3089</v>
      </c>
      <c r="E130" t="s">
        <v>3090</v>
      </c>
      <c r="F130" t="s">
        <v>2811</v>
      </c>
      <c r="G130" t="s">
        <v>3091</v>
      </c>
    </row>
    <row r="131" spans="1:7" ht="11.25" customHeight="1">
      <c r="A131" t="s">
        <v>14</v>
      </c>
      <c r="B131" t="s">
        <v>155</v>
      </c>
      <c r="C131" t="s">
        <v>156</v>
      </c>
      <c r="D131" t="s">
        <v>3092</v>
      </c>
      <c r="E131" t="s">
        <v>3093</v>
      </c>
      <c r="F131" t="s">
        <v>2795</v>
      </c>
      <c r="G131" t="s">
        <v>3094</v>
      </c>
    </row>
    <row r="132" spans="1:7" ht="11.25" customHeight="1">
      <c r="A132" t="s">
        <v>14</v>
      </c>
      <c r="B132" t="s">
        <v>155</v>
      </c>
      <c r="C132" t="s">
        <v>156</v>
      </c>
      <c r="D132" t="s">
        <v>3095</v>
      </c>
      <c r="E132" t="s">
        <v>3096</v>
      </c>
      <c r="F132" t="s">
        <v>2795</v>
      </c>
      <c r="G132" t="s">
        <v>3097</v>
      </c>
    </row>
    <row r="133" spans="1:7" ht="11.25" customHeight="1">
      <c r="A133" t="s">
        <v>14</v>
      </c>
      <c r="B133" t="s">
        <v>155</v>
      </c>
      <c r="C133" t="s">
        <v>156</v>
      </c>
      <c r="D133" t="s">
        <v>3098</v>
      </c>
      <c r="E133" t="s">
        <v>3099</v>
      </c>
      <c r="F133" t="s">
        <v>2795</v>
      </c>
      <c r="G133" t="s">
        <v>3100</v>
      </c>
    </row>
    <row r="134" spans="1:7" ht="11.25" customHeight="1">
      <c r="A134" t="s">
        <v>14</v>
      </c>
      <c r="B134" t="s">
        <v>155</v>
      </c>
      <c r="C134" t="s">
        <v>156</v>
      </c>
      <c r="D134" t="s">
        <v>3101</v>
      </c>
      <c r="E134" t="s">
        <v>3102</v>
      </c>
      <c r="F134" t="s">
        <v>2795</v>
      </c>
      <c r="G134" t="s">
        <v>3103</v>
      </c>
    </row>
    <row r="135" spans="1:7" ht="11.25" customHeight="1">
      <c r="A135" t="s">
        <v>14</v>
      </c>
      <c r="B135" t="s">
        <v>155</v>
      </c>
      <c r="C135" t="s">
        <v>156</v>
      </c>
      <c r="D135" t="s">
        <v>3104</v>
      </c>
      <c r="E135" t="s">
        <v>3105</v>
      </c>
      <c r="F135" t="s">
        <v>2795</v>
      </c>
      <c r="G135" t="s">
        <v>3106</v>
      </c>
    </row>
    <row r="136" spans="1:7" ht="11.25" customHeight="1">
      <c r="A136" t="s">
        <v>14</v>
      </c>
      <c r="B136" t="s">
        <v>155</v>
      </c>
      <c r="C136" t="s">
        <v>156</v>
      </c>
      <c r="D136" t="s">
        <v>3107</v>
      </c>
      <c r="E136" t="s">
        <v>3108</v>
      </c>
      <c r="F136" t="s">
        <v>2795</v>
      </c>
      <c r="G136" t="s">
        <v>3109</v>
      </c>
    </row>
    <row r="137" spans="1:7" ht="11.25" customHeight="1">
      <c r="A137" t="s">
        <v>14</v>
      </c>
      <c r="B137" t="s">
        <v>155</v>
      </c>
      <c r="C137" t="s">
        <v>156</v>
      </c>
      <c r="D137" t="s">
        <v>155</v>
      </c>
      <c r="E137" t="s">
        <v>156</v>
      </c>
      <c r="F137" t="s">
        <v>2796</v>
      </c>
      <c r="G137" t="s">
        <v>154</v>
      </c>
    </row>
    <row r="138" spans="1:7" ht="11.25" customHeight="1">
      <c r="A138" t="s">
        <v>14</v>
      </c>
      <c r="B138" t="s">
        <v>155</v>
      </c>
      <c r="C138" t="s">
        <v>156</v>
      </c>
      <c r="D138" t="s">
        <v>3110</v>
      </c>
      <c r="E138" t="s">
        <v>3111</v>
      </c>
      <c r="F138" t="s">
        <v>2795</v>
      </c>
      <c r="G138" t="s">
        <v>3112</v>
      </c>
    </row>
    <row r="139" spans="1:7" ht="11.25" customHeight="1">
      <c r="A139" t="s">
        <v>14</v>
      </c>
      <c r="B139" t="s">
        <v>155</v>
      </c>
      <c r="C139" t="s">
        <v>156</v>
      </c>
      <c r="D139" t="s">
        <v>3113</v>
      </c>
      <c r="E139" t="s">
        <v>3114</v>
      </c>
      <c r="F139" t="s">
        <v>2811</v>
      </c>
      <c r="G139" t="s">
        <v>3115</v>
      </c>
    </row>
    <row r="140" spans="1:7" ht="11.25" customHeight="1">
      <c r="A140" t="s">
        <v>14</v>
      </c>
      <c r="B140" t="s">
        <v>160</v>
      </c>
      <c r="C140" t="s">
        <v>161</v>
      </c>
      <c r="D140" t="s">
        <v>3116</v>
      </c>
      <c r="E140" t="s">
        <v>3117</v>
      </c>
      <c r="F140" t="s">
        <v>2795</v>
      </c>
      <c r="G140" t="s">
        <v>3118</v>
      </c>
    </row>
    <row r="141" spans="1:7" ht="11.25" customHeight="1">
      <c r="A141" t="s">
        <v>14</v>
      </c>
      <c r="B141" t="s">
        <v>160</v>
      </c>
      <c r="C141" t="s">
        <v>161</v>
      </c>
      <c r="D141" t="s">
        <v>3119</v>
      </c>
      <c r="E141" t="s">
        <v>3120</v>
      </c>
      <c r="F141" t="s">
        <v>2795</v>
      </c>
      <c r="G141" t="s">
        <v>3121</v>
      </c>
    </row>
    <row r="142" spans="1:7" ht="11.25" customHeight="1">
      <c r="A142" t="s">
        <v>14</v>
      </c>
      <c r="B142" t="s">
        <v>160</v>
      </c>
      <c r="C142" t="s">
        <v>161</v>
      </c>
      <c r="D142" t="s">
        <v>3122</v>
      </c>
      <c r="E142" t="s">
        <v>3123</v>
      </c>
      <c r="F142" t="s">
        <v>2795</v>
      </c>
      <c r="G142" t="s">
        <v>3124</v>
      </c>
    </row>
    <row r="143" spans="1:7" ht="11.25" customHeight="1">
      <c r="A143" t="s">
        <v>14</v>
      </c>
      <c r="B143" t="s">
        <v>160</v>
      </c>
      <c r="C143" t="s">
        <v>161</v>
      </c>
      <c r="D143" t="s">
        <v>3125</v>
      </c>
      <c r="E143" t="s">
        <v>3126</v>
      </c>
      <c r="F143" t="s">
        <v>2795</v>
      </c>
      <c r="G143" t="s">
        <v>3127</v>
      </c>
    </row>
    <row r="144" spans="1:7" ht="11.25" customHeight="1">
      <c r="A144" t="s">
        <v>14</v>
      </c>
      <c r="B144" t="s">
        <v>160</v>
      </c>
      <c r="C144" t="s">
        <v>161</v>
      </c>
      <c r="D144" t="s">
        <v>3128</v>
      </c>
      <c r="E144" t="s">
        <v>3129</v>
      </c>
      <c r="F144" t="s">
        <v>2795</v>
      </c>
      <c r="G144" t="s">
        <v>3130</v>
      </c>
    </row>
    <row r="145" spans="1:7" ht="11.25" customHeight="1">
      <c r="A145" t="s">
        <v>14</v>
      </c>
      <c r="B145" t="s">
        <v>160</v>
      </c>
      <c r="C145" t="s">
        <v>161</v>
      </c>
      <c r="D145" t="s">
        <v>160</v>
      </c>
      <c r="E145" t="s">
        <v>161</v>
      </c>
      <c r="F145" t="s">
        <v>2796</v>
      </c>
      <c r="G145" t="s">
        <v>159</v>
      </c>
    </row>
    <row r="146" spans="1:7" ht="11.25" customHeight="1">
      <c r="A146" t="s">
        <v>14</v>
      </c>
      <c r="B146" t="s">
        <v>160</v>
      </c>
      <c r="C146" t="s">
        <v>161</v>
      </c>
      <c r="D146" t="s">
        <v>3131</v>
      </c>
      <c r="E146" t="s">
        <v>3132</v>
      </c>
      <c r="F146" t="s">
        <v>2795</v>
      </c>
      <c r="G146" t="s">
        <v>3133</v>
      </c>
    </row>
    <row r="147" spans="1:7" ht="11.25" customHeight="1">
      <c r="A147" t="s">
        <v>14</v>
      </c>
      <c r="B147" t="s">
        <v>160</v>
      </c>
      <c r="C147" t="s">
        <v>161</v>
      </c>
      <c r="D147" t="s">
        <v>3134</v>
      </c>
      <c r="E147" t="s">
        <v>3135</v>
      </c>
      <c r="F147" t="s">
        <v>2811</v>
      </c>
      <c r="G147" t="s">
        <v>3136</v>
      </c>
    </row>
    <row r="148" spans="1:7" ht="11.25" customHeight="1">
      <c r="A148" t="s">
        <v>14</v>
      </c>
      <c r="B148" t="s">
        <v>3137</v>
      </c>
      <c r="C148" t="s">
        <v>3138</v>
      </c>
      <c r="D148" t="s">
        <v>3137</v>
      </c>
      <c r="E148" t="s">
        <v>3138</v>
      </c>
      <c r="F148" t="s">
        <v>3139</v>
      </c>
      <c r="G148" t="s">
        <v>3140</v>
      </c>
    </row>
    <row r="149" spans="1:7" ht="11.25" customHeight="1">
      <c r="A149" t="s">
        <v>14</v>
      </c>
      <c r="B149" t="s">
        <v>165</v>
      </c>
      <c r="C149" t="s">
        <v>166</v>
      </c>
      <c r="D149" t="s">
        <v>165</v>
      </c>
      <c r="E149" t="s">
        <v>166</v>
      </c>
      <c r="F149" t="s">
        <v>3139</v>
      </c>
      <c r="G149" t="s">
        <v>164</v>
      </c>
    </row>
    <row r="150" spans="1:7" ht="11.25" customHeight="1">
      <c r="A150" t="s">
        <v>14</v>
      </c>
      <c r="B150" t="s">
        <v>170</v>
      </c>
      <c r="C150" t="s">
        <v>171</v>
      </c>
      <c r="D150" t="s">
        <v>170</v>
      </c>
      <c r="E150" t="s">
        <v>171</v>
      </c>
      <c r="F150" t="s">
        <v>3139</v>
      </c>
      <c r="G150" t="s">
        <v>169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6575"/>
    <col min="2" max="2" width="84.28515625" style="6575" customWidth="1"/>
    <col min="3" max="3" width="9.140625" style="6575"/>
  </cols>
  <sheetData>
    <row r="1" spans="1:3" ht="11.25" customHeight="1">
      <c r="A1" s="752" t="s">
        <v>3207</v>
      </c>
      <c r="B1" s="752" t="s">
        <v>3208</v>
      </c>
      <c r="C1" s="752" t="s">
        <v>1295</v>
      </c>
    </row>
    <row r="2" spans="1:3" ht="11.25" customHeight="1">
      <c r="A2" s="752">
        <v>4189678</v>
      </c>
      <c r="B2" s="752" t="s">
        <v>3209</v>
      </c>
      <c r="C2" s="752" t="s">
        <v>3210</v>
      </c>
    </row>
    <row r="3" spans="1:3" ht="11.25" customHeight="1">
      <c r="A3" s="752">
        <v>4190415</v>
      </c>
      <c r="B3" s="752" t="s">
        <v>3211</v>
      </c>
      <c r="C3" s="752" t="s">
        <v>3210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6579" customWidth="1"/>
    <col min="2" max="5" width="9.140625" style="6579"/>
  </cols>
  <sheetData>
    <row r="1" spans="1:5" ht="15" customHeight="1">
      <c r="A1" s="84" t="s">
        <v>3212</v>
      </c>
      <c r="B1" s="84" t="s">
        <v>3213</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3214</v>
      </c>
      <c r="B1" t="b">
        <v>1</v>
      </c>
    </row>
    <row r="2" spans="1:2" ht="11.25" customHeight="1">
      <c r="A2" t="s">
        <v>3215</v>
      </c>
      <c r="B2" t="b">
        <v>0</v>
      </c>
    </row>
    <row r="3" spans="1:2" ht="11.25" customHeight="1">
      <c r="A3" t="s">
        <v>3216</v>
      </c>
      <c r="B3" t="b">
        <v>1</v>
      </c>
    </row>
    <row r="4" spans="1:2" ht="11.25" customHeight="1">
      <c r="A4" t="s">
        <v>3217</v>
      </c>
      <c r="B4" t="b">
        <v>0</v>
      </c>
    </row>
    <row r="5" spans="1:2" ht="11.25" customHeight="1">
      <c r="A5" t="s">
        <v>3218</v>
      </c>
      <c r="B5" t="b">
        <v>0</v>
      </c>
    </row>
    <row r="6" spans="1:2" ht="11.25" customHeight="1">
      <c r="A6" t="s">
        <v>3219</v>
      </c>
      <c r="B6" t="b">
        <v>0</v>
      </c>
    </row>
    <row r="7" spans="1:2" ht="11.25" customHeight="1">
      <c r="A7" t="s">
        <v>3220</v>
      </c>
      <c r="B7" t="b">
        <v>0</v>
      </c>
    </row>
    <row r="8" spans="1:2" ht="11.25" customHeight="1">
      <c r="A8" t="s">
        <v>3221</v>
      </c>
      <c r="B8" t="b">
        <v>0</v>
      </c>
    </row>
    <row r="9" spans="1:2" ht="11.25" customHeight="1">
      <c r="A9" t="s">
        <v>3222</v>
      </c>
      <c r="B9" t="b">
        <v>1</v>
      </c>
    </row>
    <row r="10" spans="1:2" ht="11.25" customHeight="1">
      <c r="A10" t="s">
        <v>3223</v>
      </c>
      <c r="B10" t="b">
        <v>0</v>
      </c>
    </row>
    <row r="11" spans="1:2" ht="11.25" customHeight="1">
      <c r="A11" t="s">
        <v>3224</v>
      </c>
      <c r="B11" t="b">
        <v>0</v>
      </c>
    </row>
    <row r="12" spans="1:2" ht="11.25" customHeight="1">
      <c r="A12" t="s">
        <v>3225</v>
      </c>
      <c r="B12" t="b">
        <v>0</v>
      </c>
    </row>
    <row r="13" spans="1:2" ht="11.25" customHeight="1">
      <c r="A13" t="s">
        <v>3226</v>
      </c>
      <c r="B13" t="b">
        <v>0</v>
      </c>
    </row>
    <row r="14" spans="1:2" ht="11.25" customHeight="1">
      <c r="A14" t="s">
        <v>3227</v>
      </c>
      <c r="B14" t="b">
        <v>0</v>
      </c>
    </row>
    <row r="15" spans="1:2" ht="11.25" customHeight="1">
      <c r="A15" t="s">
        <v>3228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6580"/>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6572" customWidth="1"/>
    <col min="2" max="2" width="21.140625" style="6572" customWidth="1"/>
  </cols>
  <sheetData>
    <row r="1" spans="1:2" ht="11.25" customHeight="1">
      <c r="A1" s="4" t="s">
        <v>3229</v>
      </c>
      <c r="B1" s="4" t="s">
        <v>3230</v>
      </c>
    </row>
    <row r="2" spans="1:2" ht="11.25" customHeight="1">
      <c r="A2" s="1" t="s">
        <v>3231</v>
      </c>
      <c r="B2" s="1" t="s">
        <v>3232</v>
      </c>
    </row>
    <row r="3" spans="1:2" ht="11.25" customHeight="1">
      <c r="A3" s="1" t="s">
        <v>3233</v>
      </c>
      <c r="B3" s="1" t="s">
        <v>3234</v>
      </c>
    </row>
    <row r="4" spans="1:2" ht="11.25" customHeight="1">
      <c r="A4" s="1" t="s">
        <v>3235</v>
      </c>
      <c r="B4" s="1" t="s">
        <v>3236</v>
      </c>
    </row>
    <row r="5" spans="1:2" ht="11.25" customHeight="1">
      <c r="A5" s="1" t="s">
        <v>3237</v>
      </c>
      <c r="B5" s="1" t="s">
        <v>3238</v>
      </c>
    </row>
    <row r="6" spans="1:2" ht="11.25" customHeight="1">
      <c r="A6" s="1" t="s">
        <v>3239</v>
      </c>
      <c r="B6" s="1" t="s">
        <v>3240</v>
      </c>
    </row>
    <row r="7" spans="1:2" ht="11.25" customHeight="1">
      <c r="A7" s="1" t="s">
        <v>3241</v>
      </c>
      <c r="B7" s="1" t="s">
        <v>3242</v>
      </c>
    </row>
    <row r="8" spans="1:2" ht="11.25" customHeight="1">
      <c r="A8" s="1" t="s">
        <v>3243</v>
      </c>
      <c r="B8" s="1" t="s">
        <v>3244</v>
      </c>
    </row>
    <row r="9" spans="1:2" ht="11.25" customHeight="1">
      <c r="A9" s="1" t="s">
        <v>3245</v>
      </c>
      <c r="B9" s="1" t="s">
        <v>3246</v>
      </c>
    </row>
    <row r="10" spans="1:2" ht="11.25" customHeight="1">
      <c r="A10" s="1" t="s">
        <v>3247</v>
      </c>
      <c r="B10" s="1" t="s">
        <v>3248</v>
      </c>
    </row>
    <row r="11" spans="1:2" ht="11.25" customHeight="1">
      <c r="A11" s="1" t="s">
        <v>3249</v>
      </c>
      <c r="B11" s="1" t="s">
        <v>3250</v>
      </c>
    </row>
    <row r="12" spans="1:2" ht="11.25" customHeight="1">
      <c r="A12" s="1" t="s">
        <v>3251</v>
      </c>
      <c r="B12" s="1" t="s">
        <v>3252</v>
      </c>
    </row>
    <row r="13" spans="1:2" ht="11.25" customHeight="1">
      <c r="A13" s="1" t="s">
        <v>3253</v>
      </c>
      <c r="B13" s="1" t="s">
        <v>3254</v>
      </c>
    </row>
    <row r="14" spans="1:2" ht="11.25" customHeight="1">
      <c r="A14" s="1" t="s">
        <v>3255</v>
      </c>
      <c r="B14" s="1" t="s">
        <v>3256</v>
      </c>
    </row>
    <row r="15" spans="1:2" ht="11.25" customHeight="1">
      <c r="A15" s="1" t="s">
        <v>3257</v>
      </c>
      <c r="B15" s="1" t="s">
        <v>3258</v>
      </c>
    </row>
    <row r="16" spans="1:2" ht="11.25" customHeight="1">
      <c r="A16" s="1" t="s">
        <v>3259</v>
      </c>
      <c r="B16" s="1" t="s">
        <v>3260</v>
      </c>
    </row>
    <row r="17" spans="1:2" ht="11.25" customHeight="1">
      <c r="A17" s="1" t="s">
        <v>3261</v>
      </c>
      <c r="B17" s="1" t="s">
        <v>3262</v>
      </c>
    </row>
    <row r="18" spans="1:2" ht="11.25" customHeight="1">
      <c r="A18" s="1" t="s">
        <v>3263</v>
      </c>
      <c r="B18" s="1" t="s">
        <v>3264</v>
      </c>
    </row>
    <row r="19" spans="1:2" ht="11.25" customHeight="1">
      <c r="A19" s="1" t="s">
        <v>3265</v>
      </c>
      <c r="B19" s="1" t="s">
        <v>3266</v>
      </c>
    </row>
    <row r="20" spans="1:2" ht="11.25" customHeight="1">
      <c r="A20" s="1" t="s">
        <v>3267</v>
      </c>
      <c r="B20" s="1" t="s">
        <v>3268</v>
      </c>
    </row>
    <row r="21" spans="1:2" ht="11.25" customHeight="1">
      <c r="A21" s="1" t="s">
        <v>3269</v>
      </c>
      <c r="B21" s="1" t="s">
        <v>3270</v>
      </c>
    </row>
    <row r="22" spans="1:2" ht="11.25" customHeight="1">
      <c r="A22" s="1" t="s">
        <v>3271</v>
      </c>
      <c r="B22" s="1" t="s">
        <v>3272</v>
      </c>
    </row>
    <row r="23" spans="1:2" ht="11.25" customHeight="1">
      <c r="A23" s="1" t="s">
        <v>3273</v>
      </c>
      <c r="B23" s="1" t="s">
        <v>3274</v>
      </c>
    </row>
    <row r="24" spans="1:2" ht="11.25" customHeight="1">
      <c r="A24" s="1" t="s">
        <v>3275</v>
      </c>
      <c r="B24" s="1" t="s">
        <v>3276</v>
      </c>
    </row>
    <row r="25" spans="1:2" ht="11.25" customHeight="1">
      <c r="A25" s="1" t="s">
        <v>3277</v>
      </c>
      <c r="B25" s="1" t="s">
        <v>3278</v>
      </c>
    </row>
    <row r="26" spans="1:2" ht="11.25" customHeight="1">
      <c r="A26" s="1" t="s">
        <v>3279</v>
      </c>
      <c r="B26" s="1" t="s">
        <v>3280</v>
      </c>
    </row>
    <row r="27" spans="1:2" ht="11.25" customHeight="1">
      <c r="A27" s="1" t="s">
        <v>3281</v>
      </c>
      <c r="B27" s="1" t="s">
        <v>3282</v>
      </c>
    </row>
    <row r="28" spans="1:2" ht="11.25" customHeight="1">
      <c r="A28" s="1" t="s">
        <v>3283</v>
      </c>
      <c r="B28" s="1" t="s">
        <v>3284</v>
      </c>
    </row>
    <row r="29" spans="1:2" ht="11.25" customHeight="1">
      <c r="A29" s="1" t="s">
        <v>3285</v>
      </c>
      <c r="B29" s="1" t="s">
        <v>3286</v>
      </c>
    </row>
    <row r="30" spans="1:2" ht="11.25" customHeight="1">
      <c r="A30" s="1" t="s">
        <v>3287</v>
      </c>
      <c r="B30" s="1" t="s">
        <v>3288</v>
      </c>
    </row>
    <row r="31" spans="1:2" ht="11.25" customHeight="1">
      <c r="A31" s="1" t="s">
        <v>3289</v>
      </c>
      <c r="B31" s="1" t="s">
        <v>3290</v>
      </c>
    </row>
    <row r="32" spans="1:2" ht="11.25" customHeight="1">
      <c r="A32" s="1" t="s">
        <v>3291</v>
      </c>
      <c r="B32" s="1" t="s">
        <v>3292</v>
      </c>
    </row>
    <row r="33" spans="1:2" ht="11.25" customHeight="1">
      <c r="A33" s="1" t="s">
        <v>3293</v>
      </c>
      <c r="B33" s="1" t="s">
        <v>3294</v>
      </c>
    </row>
    <row r="34" spans="1:2" ht="11.25" customHeight="1">
      <c r="A34" s="1" t="s">
        <v>3295</v>
      </c>
      <c r="B34" s="1" t="s">
        <v>3296</v>
      </c>
    </row>
    <row r="35" spans="1:2" ht="11.25" customHeight="1">
      <c r="A35" s="1" t="s">
        <v>3297</v>
      </c>
      <c r="B35" s="1" t="s">
        <v>3298</v>
      </c>
    </row>
    <row r="36" spans="1:2" ht="11.25" customHeight="1">
      <c r="A36" s="1" t="s">
        <v>3299</v>
      </c>
      <c r="B36" s="1" t="s">
        <v>3300</v>
      </c>
    </row>
    <row r="37" spans="1:2" ht="11.25" customHeight="1">
      <c r="A37" s="1" t="s">
        <v>3301</v>
      </c>
      <c r="B37" s="1" t="s">
        <v>3302</v>
      </c>
    </row>
    <row r="38" spans="1:2" ht="11.25" customHeight="1">
      <c r="A38" s="1" t="s">
        <v>3303</v>
      </c>
      <c r="B38" s="1" t="s">
        <v>3304</v>
      </c>
    </row>
    <row r="39" spans="1:2" ht="11.25" customHeight="1">
      <c r="A39" s="1" t="s">
        <v>3305</v>
      </c>
      <c r="B39" s="1" t="s">
        <v>3306</v>
      </c>
    </row>
    <row r="40" spans="1:2" ht="11.25" customHeight="1">
      <c r="A40" s="1" t="s">
        <v>3307</v>
      </c>
      <c r="B40" s="1" t="s">
        <v>3308</v>
      </c>
    </row>
    <row r="41" spans="1:2" ht="11.25" customHeight="1">
      <c r="A41" s="1" t="s">
        <v>3309</v>
      </c>
      <c r="B41" s="1" t="s">
        <v>3310</v>
      </c>
    </row>
    <row r="42" spans="1:2" ht="11.25" customHeight="1">
      <c r="A42" s="1" t="s">
        <v>3311</v>
      </c>
      <c r="B42" s="1" t="s">
        <v>3312</v>
      </c>
    </row>
    <row r="43" spans="1:2" ht="11.25" customHeight="1">
      <c r="A43" s="1" t="s">
        <v>3313</v>
      </c>
      <c r="B43" s="1" t="s">
        <v>3314</v>
      </c>
    </row>
    <row r="44" spans="1:2" ht="11.25" customHeight="1">
      <c r="A44" s="1" t="s">
        <v>3315</v>
      </c>
      <c r="B44" s="1" t="s">
        <v>3316</v>
      </c>
    </row>
    <row r="45" spans="1:2" ht="11.25" customHeight="1">
      <c r="A45" s="1" t="s">
        <v>3317</v>
      </c>
      <c r="B45" s="1" t="s">
        <v>3318</v>
      </c>
    </row>
    <row r="46" spans="1:2" ht="11.25" customHeight="1">
      <c r="A46" s="1" t="s">
        <v>3319</v>
      </c>
      <c r="B46" s="1" t="s">
        <v>3320</v>
      </c>
    </row>
    <row r="47" spans="1:2" ht="11.25" customHeight="1">
      <c r="A47" s="1" t="s">
        <v>3321</v>
      </c>
      <c r="B47" s="1" t="s">
        <v>3322</v>
      </c>
    </row>
    <row r="48" spans="1:2" ht="11.25" customHeight="1">
      <c r="A48" s="1" t="s">
        <v>3323</v>
      </c>
      <c r="B48" s="1" t="s">
        <v>3324</v>
      </c>
    </row>
    <row r="49" spans="1:2" ht="11.25" customHeight="1">
      <c r="A49" s="1" t="s">
        <v>3325</v>
      </c>
      <c r="B49" s="1" t="s">
        <v>3326</v>
      </c>
    </row>
    <row r="50" spans="1:2" ht="11.25" customHeight="1">
      <c r="A50" s="1" t="s">
        <v>3327</v>
      </c>
      <c r="B50" s="1" t="s">
        <v>3328</v>
      </c>
    </row>
    <row r="51" spans="1:2" ht="11.25" customHeight="1">
      <c r="A51" s="1" t="s">
        <v>3329</v>
      </c>
      <c r="B51" s="1" t="s">
        <v>3330</v>
      </c>
    </row>
    <row r="52" spans="1:2" ht="11.25" customHeight="1">
      <c r="A52" s="1" t="s">
        <v>3331</v>
      </c>
      <c r="B52" s="1" t="s">
        <v>3332</v>
      </c>
    </row>
    <row r="53" spans="1:2" ht="11.25" customHeight="1">
      <c r="A53" s="1" t="s">
        <v>3333</v>
      </c>
      <c r="B53" s="1" t="s">
        <v>3334</v>
      </c>
    </row>
    <row r="54" spans="1:2" ht="11.25" customHeight="1">
      <c r="A54" s="1" t="s">
        <v>3335</v>
      </c>
      <c r="B54" s="1" t="s">
        <v>3336</v>
      </c>
    </row>
    <row r="55" spans="1:2" ht="11.25" customHeight="1">
      <c r="A55" s="1" t="s">
        <v>3337</v>
      </c>
      <c r="B55" s="1" t="s">
        <v>3338</v>
      </c>
    </row>
    <row r="56" spans="1:2" ht="11.25" customHeight="1">
      <c r="A56" s="1" t="s">
        <v>3339</v>
      </c>
      <c r="B56" s="1" t="s">
        <v>3340</v>
      </c>
    </row>
    <row r="57" spans="1:2" ht="11.25" customHeight="1">
      <c r="A57" s="1" t="s">
        <v>3341</v>
      </c>
      <c r="B57" s="1" t="s">
        <v>3342</v>
      </c>
    </row>
    <row r="58" spans="1:2" ht="11.25" customHeight="1">
      <c r="A58" s="1" t="s">
        <v>3343</v>
      </c>
      <c r="B58" s="1" t="s">
        <v>3344</v>
      </c>
    </row>
    <row r="59" spans="1:2" ht="11.25" customHeight="1">
      <c r="A59" s="1" t="s">
        <v>3345</v>
      </c>
      <c r="B59" s="1" t="s">
        <v>3346</v>
      </c>
    </row>
    <row r="60" spans="1:2" ht="11.25" customHeight="1">
      <c r="A60" s="1" t="s">
        <v>3347</v>
      </c>
      <c r="B60" s="1" t="s">
        <v>3348</v>
      </c>
    </row>
    <row r="61" spans="1:2" ht="11.25" customHeight="1">
      <c r="A61" s="1"/>
      <c r="B61" s="1" t="s">
        <v>3349</v>
      </c>
    </row>
    <row r="62" spans="1:2" ht="11.25" customHeight="1">
      <c r="A62" s="1"/>
      <c r="B62" s="1" t="s">
        <v>3350</v>
      </c>
    </row>
    <row r="63" spans="1:2" ht="11.25" customHeight="1">
      <c r="A63" s="1"/>
      <c r="B63" s="1" t="s">
        <v>3351</v>
      </c>
    </row>
    <row r="64" spans="1:2" ht="11.25" customHeight="1">
      <c r="A64" s="1"/>
      <c r="B64" s="1" t="s">
        <v>3352</v>
      </c>
    </row>
    <row r="65" spans="1:2" ht="11.25" customHeight="1">
      <c r="A65" s="1"/>
      <c r="B65" s="1" t="s">
        <v>3353</v>
      </c>
    </row>
    <row r="66" spans="1:2" ht="11.25" customHeight="1">
      <c r="A66" s="1"/>
      <c r="B66" s="1" t="s">
        <v>3354</v>
      </c>
    </row>
    <row r="67" spans="1:2" ht="11.25" customHeight="1">
      <c r="A67" s="1"/>
      <c r="B67" s="1" t="s">
        <v>3355</v>
      </c>
    </row>
    <row r="68" spans="1:2" ht="11.25" customHeight="1">
      <c r="A68" s="1"/>
      <c r="B68" s="1" t="s">
        <v>3356</v>
      </c>
    </row>
    <row r="69" spans="1:2" ht="11.25" customHeight="1">
      <c r="A69" s="1"/>
      <c r="B69" s="1" t="s">
        <v>3357</v>
      </c>
    </row>
    <row r="70" spans="1:2" ht="11.25" customHeight="1">
      <c r="A70" s="1"/>
      <c r="B70" s="1" t="s">
        <v>3358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2" customWidth="1"/>
    <col min="2" max="2" width="90.7109375" style="1802" customWidth="1"/>
    <col min="3" max="4" width="9.140625" style="1802"/>
  </cols>
  <sheetData>
    <row r="1" spans="2:4" ht="11.25" customHeight="1">
      <c r="B1" s="26" t="s">
        <v>3359</v>
      </c>
    </row>
    <row r="2" spans="2:4" ht="90" customHeight="1">
      <c r="B2" s="27" t="s">
        <v>3360</v>
      </c>
    </row>
    <row r="3" spans="2:4" ht="67.5" customHeight="1">
      <c r="B3" s="27" t="s">
        <v>3361</v>
      </c>
    </row>
    <row r="4" spans="2:4" ht="33.75" customHeight="1">
      <c r="B4" s="27" t="s">
        <v>3362</v>
      </c>
    </row>
    <row r="5" spans="2:4" ht="11.25" customHeight="1">
      <c r="B5" s="27" t="s">
        <v>3363</v>
      </c>
    </row>
    <row r="6" spans="2:4" ht="22.5" customHeight="1">
      <c r="B6" s="27" t="s">
        <v>3364</v>
      </c>
    </row>
    <row r="7" spans="2:4" ht="22.5" customHeight="1">
      <c r="B7" s="27" t="s">
        <v>3365</v>
      </c>
    </row>
    <row r="8" spans="2:4" ht="22.5" customHeight="1">
      <c r="B8" s="27" t="s">
        <v>3366</v>
      </c>
    </row>
    <row r="9" spans="2:4" ht="22.5" customHeight="1">
      <c r="B9" s="27" t="s">
        <v>3367</v>
      </c>
    </row>
    <row r="10" spans="2:4" ht="56.25" customHeight="1">
      <c r="B10" s="27" t="s">
        <v>3368</v>
      </c>
    </row>
    <row r="11" spans="2:4" ht="12.75" customHeight="1">
      <c r="B11" s="81" t="s">
        <v>3369</v>
      </c>
    </row>
    <row r="12" spans="2:4" ht="11.25" customHeight="1">
      <c r="B12" s="26" t="s">
        <v>3370</v>
      </c>
    </row>
    <row r="13" spans="2:4" ht="22.5" customHeight="1">
      <c r="B13" s="27" t="s">
        <v>3371</v>
      </c>
    </row>
    <row r="14" spans="2:4" ht="67.5" customHeight="1">
      <c r="B14" s="27" t="s">
        <v>3372</v>
      </c>
    </row>
    <row r="15" spans="2:4" ht="22.5" customHeight="1">
      <c r="B15" s="27" t="s">
        <v>3373</v>
      </c>
    </row>
    <row r="16" spans="2:4" ht="11.25" customHeight="1">
      <c r="B16" s="26" t="s">
        <v>3374</v>
      </c>
      <c r="D16" s="33"/>
    </row>
    <row r="17" spans="1:2" ht="33.75" customHeight="1">
      <c r="B17" s="27" t="s">
        <v>3375</v>
      </c>
    </row>
    <row r="18" spans="1:2" ht="33.75" customHeight="1">
      <c r="B18" s="27" t="s">
        <v>3376</v>
      </c>
    </row>
    <row r="19" spans="1:2" ht="11.25" customHeight="1">
      <c r="B19" s="27" t="s">
        <v>3377</v>
      </c>
    </row>
    <row r="20" spans="1:2" ht="33.75" customHeight="1">
      <c r="B20" s="27" t="s">
        <v>3378</v>
      </c>
    </row>
    <row r="21" spans="1:2" ht="11.25" customHeight="1">
      <c r="B21" s="26" t="s">
        <v>3379</v>
      </c>
    </row>
    <row r="22" spans="1:2" ht="11.25" customHeight="1">
      <c r="B22" s="27" t="s">
        <v>3380</v>
      </c>
    </row>
    <row r="24" spans="1:2" ht="22.5" customHeight="1">
      <c r="B24" s="83" t="s">
        <v>3381</v>
      </c>
    </row>
    <row r="26" spans="1:2" ht="11.25" customHeight="1">
      <c r="B26" s="26" t="s">
        <v>3382</v>
      </c>
    </row>
    <row r="27" spans="1:2" ht="22.5" customHeight="1">
      <c r="B27" s="82" t="s">
        <v>516</v>
      </c>
    </row>
    <row r="28" spans="1:2" ht="56.25" customHeight="1">
      <c r="B28" s="82" t="s">
        <v>3383</v>
      </c>
    </row>
    <row r="29" spans="1:2" ht="11.25" customHeight="1">
      <c r="B29" s="131" t="s">
        <v>3384</v>
      </c>
    </row>
    <row r="30" spans="1:2" ht="22.5" customHeight="1">
      <c r="B30" s="82" t="s">
        <v>3385</v>
      </c>
    </row>
    <row r="32" spans="1:2" ht="11.25" customHeight="1">
      <c r="A32" s="109"/>
      <c r="B32" s="110" t="s">
        <v>3386</v>
      </c>
    </row>
    <row r="33" spans="1:2" ht="14.25" customHeight="1">
      <c r="A33" s="111">
        <v>1</v>
      </c>
      <c r="B33" s="112" t="s">
        <v>3387</v>
      </c>
    </row>
    <row r="34" spans="1:2" ht="14.25" customHeight="1">
      <c r="A34" s="111">
        <v>2</v>
      </c>
      <c r="B34" s="112" t="s">
        <v>3388</v>
      </c>
    </row>
    <row r="35" spans="1:2" ht="11.25" customHeight="1">
      <c r="B35" s="110" t="s">
        <v>3389</v>
      </c>
    </row>
    <row r="36" spans="1:2" ht="11.25" customHeight="1">
      <c r="B36" s="112" t="s">
        <v>3390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066" hidden="1" customWidth="1"/>
    <col min="2" max="2" width="9.140625" style="2065" hidden="1" customWidth="1"/>
    <col min="3" max="3" width="3.7109375" style="2058" customWidth="1"/>
    <col min="4" max="4" width="5.5703125" style="2065" customWidth="1"/>
    <col min="5" max="5" width="38.140625" style="2065" customWidth="1"/>
    <col min="6" max="7" width="3.7109375" style="2065" customWidth="1"/>
    <col min="8" max="8" width="38.28515625" style="2065" customWidth="1"/>
    <col min="9" max="9" width="35.7109375" style="2065" customWidth="1"/>
    <col min="10" max="10" width="103.7109375" style="2065" customWidth="1"/>
    <col min="11" max="11" width="3.7109375" style="2043" customWidth="1"/>
    <col min="12" max="14" width="10.5703125" style="2063"/>
    <col min="15" max="15" width="13.7109375" style="2063" customWidth="1"/>
    <col min="16" max="16" width="15.42578125" style="2063" customWidth="1"/>
    <col min="17" max="17" width="16.28515625" style="2063" customWidth="1"/>
    <col min="18" max="21" width="10.5703125" style="2063"/>
  </cols>
  <sheetData>
    <row r="1" spans="1:21" ht="14.25" hidden="1" customHeight="1">
      <c r="E1" s="346"/>
      <c r="F1" s="346"/>
      <c r="G1" s="346"/>
      <c r="H1" s="6607" t="s">
        <v>472</v>
      </c>
      <c r="I1" s="6607"/>
    </row>
    <row r="2" spans="1:21" s="2061" customFormat="1" ht="14.25" hidden="1" customHeight="1">
      <c r="C2" s="1530"/>
      <c r="D2" s="6743" t="s">
        <v>178</v>
      </c>
      <c r="E2" s="6745"/>
      <c r="F2" s="1536"/>
      <c r="G2" s="1531" t="s">
        <v>178</v>
      </c>
      <c r="H2" s="1534"/>
      <c r="I2" s="1532"/>
      <c r="L2" s="1533"/>
      <c r="M2" s="1533"/>
      <c r="N2" s="1533"/>
      <c r="O2" s="1533" t="s">
        <v>502</v>
      </c>
      <c r="P2" s="1533"/>
      <c r="Q2" s="1533"/>
      <c r="R2" s="1535" t="s">
        <v>501</v>
      </c>
      <c r="S2" s="1535" t="s">
        <v>501</v>
      </c>
      <c r="T2" s="1533"/>
      <c r="U2" s="1533"/>
    </row>
    <row r="3" spans="1:21" s="2061" customFormat="1" ht="14.25" hidden="1" customHeight="1">
      <c r="C3" s="1530"/>
      <c r="D3" s="6744"/>
      <c r="E3" s="6746"/>
      <c r="F3" s="339"/>
      <c r="G3" s="782"/>
      <c r="H3" s="782" t="s">
        <v>503</v>
      </c>
      <c r="I3" s="234"/>
      <c r="L3" s="1533"/>
      <c r="M3" s="1533"/>
      <c r="N3" s="1533"/>
      <c r="O3" s="1533"/>
      <c r="P3" s="1533"/>
      <c r="Q3" s="1533"/>
      <c r="R3" s="1535"/>
      <c r="S3" s="1535"/>
      <c r="T3" s="1533"/>
      <c r="U3" s="1533"/>
    </row>
    <row r="4" spans="1:21" ht="14.25" hidden="1" customHeight="1"/>
    <row r="5" spans="1:21" s="2062" customFormat="1" ht="6" customHeight="1">
      <c r="C5" s="620"/>
      <c r="D5" s="621"/>
      <c r="E5" s="621"/>
      <c r="F5" s="621"/>
      <c r="G5" s="621"/>
      <c r="H5" s="621" t="s">
        <v>476</v>
      </c>
      <c r="I5" s="621"/>
      <c r="J5" s="621"/>
      <c r="L5" s="1526"/>
      <c r="M5" s="1526"/>
      <c r="N5" s="1526"/>
      <c r="O5" s="1526"/>
      <c r="P5" s="1526"/>
      <c r="Q5" s="1526"/>
      <c r="R5" s="1526"/>
      <c r="S5" s="1526"/>
      <c r="T5" s="1526"/>
      <c r="U5" s="1526"/>
    </row>
    <row r="6" spans="1:21" ht="27.75" customHeight="1">
      <c r="C6" s="1425"/>
      <c r="D6" s="6747" t="s">
        <v>504</v>
      </c>
      <c r="E6" s="6747"/>
      <c r="F6" s="6747"/>
      <c r="G6" s="6747"/>
      <c r="H6" s="6747"/>
      <c r="I6" s="6747"/>
      <c r="J6" s="417"/>
      <c r="K6" s="1527"/>
    </row>
    <row r="7" spans="1:21" ht="17.25" customHeight="1">
      <c r="C7" s="1425"/>
      <c r="D7" s="6694" t="str">
        <f>IF(org=0,"Не определено",org)</f>
        <v>ООО "Марикоммунэнерго"</v>
      </c>
      <c r="E7" s="6694"/>
      <c r="F7" s="6694"/>
      <c r="G7" s="6694"/>
      <c r="H7" s="6694"/>
      <c r="I7" s="6694"/>
      <c r="J7" s="417"/>
      <c r="K7" s="1527"/>
    </row>
    <row r="8" spans="1:21" s="2064" customFormat="1" ht="6" customHeight="1">
      <c r="A8" s="1525"/>
      <c r="C8" s="412"/>
      <c r="D8" s="411"/>
      <c r="E8" s="411"/>
      <c r="F8" s="411"/>
      <c r="G8" s="411"/>
      <c r="H8" s="411"/>
      <c r="I8" s="411"/>
      <c r="J8" s="411"/>
      <c r="L8" s="1526"/>
      <c r="M8" s="1526"/>
      <c r="N8" s="1526"/>
      <c r="O8" s="1526"/>
      <c r="P8" s="1526"/>
      <c r="Q8" s="1526"/>
      <c r="R8" s="1526"/>
      <c r="S8" s="1526"/>
      <c r="T8" s="1526"/>
      <c r="U8" s="1526"/>
    </row>
    <row r="9" spans="1:21" s="2064" customFormat="1" ht="6" customHeight="1">
      <c r="A9" s="1525"/>
      <c r="C9" s="412"/>
      <c r="D9" s="411"/>
      <c r="E9" s="411"/>
      <c r="F9" s="411"/>
      <c r="G9" s="411"/>
      <c r="H9" s="411"/>
      <c r="I9" s="411"/>
      <c r="J9" s="411"/>
      <c r="L9" s="1533"/>
      <c r="M9" s="1533"/>
      <c r="N9" s="1533"/>
      <c r="O9" s="1533"/>
      <c r="P9" s="1533"/>
      <c r="Q9" s="1533"/>
      <c r="R9" s="1533"/>
      <c r="S9" s="1533"/>
      <c r="T9" s="1533"/>
      <c r="U9" s="1533"/>
    </row>
    <row r="10" spans="1:21" ht="14.25" customHeight="1">
      <c r="C10" s="1425"/>
      <c r="D10" s="6731" t="s">
        <v>418</v>
      </c>
      <c r="E10" s="6732"/>
      <c r="F10" s="6732"/>
      <c r="G10" s="6732"/>
      <c r="H10" s="6732"/>
      <c r="I10" s="6732"/>
      <c r="J10" s="6657" t="s">
        <v>419</v>
      </c>
    </row>
    <row r="11" spans="1:21" ht="25.5" customHeight="1">
      <c r="C11" s="1425"/>
      <c r="D11" s="6629" t="s">
        <v>87</v>
      </c>
      <c r="E11" s="6657" t="str">
        <f>IF(TEMPLATE_SPHERE&lt;&gt;"HEAT","Регулируемый вид деятельности","Вид регулируемой деятельности")</f>
        <v>Вид регулируемой деятельности</v>
      </c>
      <c r="F11" s="6708" t="s">
        <v>87</v>
      </c>
      <c r="G11" s="6709"/>
      <c r="H11" s="6693" t="s">
        <v>505</v>
      </c>
      <c r="I11" s="6693" t="s">
        <v>506</v>
      </c>
      <c r="J11" s="6657"/>
    </row>
    <row r="12" spans="1:21" ht="14.25" customHeight="1">
      <c r="C12" s="1425"/>
      <c r="D12" s="6629"/>
      <c r="E12" s="6657"/>
      <c r="F12" s="6713"/>
      <c r="G12" s="6714"/>
      <c r="H12" s="6742"/>
      <c r="I12" s="6742"/>
      <c r="J12" s="6657"/>
    </row>
    <row r="13" spans="1:21" s="1816" customFormat="1" ht="11.25" hidden="1" customHeight="1">
      <c r="C13" s="424"/>
      <c r="D13" s="425" t="s">
        <v>496</v>
      </c>
      <c r="E13" s="425"/>
      <c r="F13" s="425"/>
      <c r="G13" s="425"/>
      <c r="H13" s="423"/>
      <c r="I13" s="423"/>
      <c r="J13" s="367"/>
      <c r="L13" s="1526"/>
      <c r="M13" s="1526"/>
      <c r="N13" s="1526"/>
      <c r="O13" s="1526"/>
      <c r="P13" s="1526"/>
      <c r="Q13" s="1526"/>
      <c r="R13" s="1526"/>
      <c r="S13" s="1526"/>
      <c r="T13" s="1526"/>
      <c r="U13" s="1526"/>
    </row>
    <row r="14" spans="1:21" ht="14.25" customHeight="1">
      <c r="A14" s="1523"/>
      <c r="C14" s="1425"/>
      <c r="D14" s="6743" t="s">
        <v>178</v>
      </c>
      <c r="E14" s="6745"/>
      <c r="F14" s="1529"/>
      <c r="G14" s="1528" t="s">
        <v>178</v>
      </c>
      <c r="H14" s="1534"/>
      <c r="I14" s="1532"/>
      <c r="J14" s="6676" t="s">
        <v>507</v>
      </c>
      <c r="K14" s="1523"/>
      <c r="R14" s="426" t="s">
        <v>501</v>
      </c>
      <c r="S14" s="426" t="s">
        <v>501</v>
      </c>
    </row>
    <row r="15" spans="1:21" ht="14.25" customHeight="1">
      <c r="A15" s="1523"/>
      <c r="C15" s="1425"/>
      <c r="D15" s="6744"/>
      <c r="E15" s="6746"/>
      <c r="F15" s="339"/>
      <c r="G15" s="782"/>
      <c r="H15" s="782" t="s">
        <v>503</v>
      </c>
      <c r="I15" s="234"/>
      <c r="J15" s="6677"/>
      <c r="K15" s="1523"/>
      <c r="R15" s="426"/>
      <c r="S15" s="426"/>
    </row>
    <row r="16" spans="1:21" ht="14.25" customHeight="1">
      <c r="A16" s="1523"/>
      <c r="C16" s="1425"/>
      <c r="D16" s="339"/>
      <c r="E16" s="782" t="s">
        <v>187</v>
      </c>
      <c r="F16" s="234"/>
      <c r="G16" s="234"/>
      <c r="H16" s="340"/>
      <c r="I16" s="340"/>
      <c r="J16" s="6678"/>
      <c r="K16" s="1523"/>
    </row>
    <row r="17" spans="11:11" ht="14.25" customHeight="1">
      <c r="K17" s="152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1989</vt:i4>
      </vt:variant>
    </vt:vector>
  </HeadingPairs>
  <TitlesOfParts>
    <vt:vector size="207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pt_ist_te_30</vt:lpstr>
      <vt:lpstr>pt_ist_te_31</vt:lpstr>
      <vt:lpstr>pt_ist_te_32</vt:lpstr>
      <vt:lpstr>pt_ist_te_33</vt:lpstr>
      <vt:lpstr>pt_ist_te_34</vt:lpstr>
      <vt:lpstr>pt_ist_te_35</vt:lpstr>
      <vt:lpstr>pt_ist_te_36</vt:lpstr>
      <vt:lpstr>pt_ist_te_37</vt:lpstr>
      <vt:lpstr>pt_ist_te_38</vt:lpstr>
      <vt:lpstr>pt_ist_te_39</vt:lpstr>
      <vt:lpstr>pt_ist_te_4</vt:lpstr>
      <vt:lpstr>pt_ist_te_40</vt:lpstr>
      <vt:lpstr>pt_ist_te_41</vt:lpstr>
      <vt:lpstr>pt_ist_te_42</vt:lpstr>
      <vt:lpstr>pt_ist_te_43</vt:lpstr>
      <vt:lpstr>pt_ist_te_44</vt:lpstr>
      <vt:lpstr>pt_ist_te_45</vt:lpstr>
      <vt:lpstr>pt_ist_te_46</vt:lpstr>
      <vt:lpstr>pt_ist_te_47</vt:lpstr>
      <vt:lpstr>pt_ist_te_48</vt:lpstr>
      <vt:lpstr>pt_ist_te_49</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ter_69</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Дорохова Наталия Валерияновна</cp:lastModifiedBy>
  <cp:lastPrinted>2013-08-29T08:11:20Z</cp:lastPrinted>
  <dcterms:created xsi:type="dcterms:W3CDTF">2004-05-21T07:18:45Z</dcterms:created>
  <dcterms:modified xsi:type="dcterms:W3CDTF">2024-01-09T07:07:33Z</dcterms:modified>
</cp:coreProperties>
</file>